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PWCrjSlyHTAdp2utvlzRMVssMTPi26JWg35YLH25j2FMiAG/7Dg3Ein5b5292lGMYPXCu+Hi8M0QH3augQihzg==" workbookSaltValue="+M+EwVZWPeaWYeWKDsJ/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N9" i="11"/>
  <c r="ES20" i="8"/>
  <c r="AC20" i="13"/>
  <c r="EP20" i="19"/>
  <c r="T13" i="12"/>
  <c r="BD18" i="13"/>
  <c r="BE17" i="13"/>
  <c r="BF17" i="13"/>
  <c r="AE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<sst xmlns="http://schemas.openxmlformats.org/spreadsheetml/2006/main" count="2527" uniqueCount="1026">
  <si>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</si>
  <si>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</si>
  <si>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</si>
  <si>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</si>
  <si>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</si>
  <si>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</si>
  <si>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</si>
  <si>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</si>
  <si>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</si>
  <si>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</si>
  <si>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</si>
  <si>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</si>
  <si>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</si>
  <si>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</si>
  <si>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</si>
  <si>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</si>
  <si>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</si>
  <si>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</si>
  <si>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</si>
  <si>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</si>
  <si>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</si>
  <si>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</si>
  <si>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</si>
  <si>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</si>
  <si>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</si>
  <si>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</si>
  <si>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</si>
  <si>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</si>
  <si>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</si>
  <si>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</si>
  <si>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</si>
  <si>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</si>
  <si>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</si>
  <si>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</si>
  <si>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</si>
  <si>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</si>
  <si>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</si>
  <si>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</si>
  <si>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</si>
  <si>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</si>
  <si>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</si>
  <si>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</si>
  <si>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</si>
  <si>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</si>
  <si>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</si>
  <si>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</si>
  <si>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</si>
  <si>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</si>
  <si>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</si>
  <si>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</si>
  <si>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</si>
  <si>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</si>
  <si>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</si>
  <si>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</si>
  <si>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</si>
  <si>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</si>
  <si>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</si>
  <si>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</si>
  <si>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</si>
  <si>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</si>
  <si>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</si>
  <si>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</si>
  <si>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</si>
  <si>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</si>
  <si>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</si>
  <si>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</si>
  <si>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</si>
  <si>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</si>
  <si>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</si>
  <si>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</si>
  <si>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</si>
  <si>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</si>
  <si>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</si>
  <si>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</si>
  <si>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</si>
  <si>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</si>
  <si>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</si>
  <si>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</si>
  <si>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</si>
  <si>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</si>
  <si>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</si>
  <si>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</si>
  <si>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</si>
  <si>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</si>
  <si>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</si>
  <si>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</si>
  <si>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</si>
  <si>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</si>
  <si>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</si>
  <si>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</si>
  <si>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</si>
  <si>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</si>
  <si>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</si>
  <si>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</si>
  <si>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</si>
  <si>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</si>
  <si>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</si>
  <si>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</si>
  <si>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</si>
  <si>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</si>
  <si>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</si>
  <si>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</si>
  <si>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</si>
  <si>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</si>
  <si>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</si>
  <si>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</si>
  <si>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</si>
  <si>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</si>
  <si>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</si>
  <si>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</si>
  <si>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</si>
  <si>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</si>
  <si>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</si>
  <si>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</si>
  <si>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</si>
  <si>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</si>
  <si>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</si>
  <si>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</si>
  <si>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</si>
  <si>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</si>
  <si>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</si>
  <si>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</si>
  <si>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</si>
  <si>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</si>
  <si>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</si>
  <si>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</si>
  <si>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</si>
  <si>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</si>
  <si>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</si>
  <si>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</si>
  <si>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</si>
  <si>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</si>
  <si>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</si>
  <si>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</si>
  <si>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</si>
  <si>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</si>
  <si>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</si>
  <si>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</si>
  <si>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</si>
  <si>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</si>
  <si>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</si>
  <si>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</si>
  <si>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</si>
  <si>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</si>
  <si>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</si>
  <si>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</si>
  <si>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</si>
  <si>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</si>
  <si>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</si>
  <si>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</si>
  <si>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</si>
  <si>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</si>
  <si>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</si>
  <si>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</si>
  <si>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</si>
  <si>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</si>
  <si>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</si>
  <si>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</si>
  <si>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</si>
  <si>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</si>
  <si>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</si>
  <si>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</si>
  <si>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</si>
  <si>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</si>
  <si>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</si>
  <si>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</si>
  <si>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</si>
  <si>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</si>
  <si>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</si>
  <si>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</si>
  <si>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</si>
  <si>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</si>
  <si>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</si>
  <si>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</si>
  <si>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</si>
  <si>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</si>
  <si>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</si>
  <si>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</si>
  <si>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</si>
  <si>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</si>
  <si>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</si>
  <si>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</si>
  <si>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</si>
  <si>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</si>
  <si>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</si>
  <si>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</si>
  <si>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</si>
  <si>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</si>
  <si>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</si>
  <si>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</si>
  <si>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</si>
  <si>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</si>
  <si>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</si>
  <si>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</si>
  <si>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</si>
  <si>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</si>
  <si>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</si>
  <si>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</si>
  <si>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</si>
  <si>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</si>
  <si>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</si>
  <si>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</si>
  <si>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</si>
  <si>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</si>
  <si>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</si>
  <si>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</si>
  <si>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</si>
  <si>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</si>
  <si>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</si>
  <si>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</si>
  <si>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</si>
  <si>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</si>
  <si>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</si>
  <si>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</si>
  <si>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</si>
  <si>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</si>
  <si>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</si>
  <si>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</si>
  <si>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</si>
  <si>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</si>
  <si>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</si>
  <si>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</si>
  <si>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</si>
  <si>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</si>
  <si>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</si>
  <si>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</si>
  <si>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</si>
  <si>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</si>
  <si>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</si>
  <si>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</si>
  <si>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</si>
  <si>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</si>
  <si>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</si>
  <si>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</si>
  <si>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</si>
  <si>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</si>
  <si>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</si>
  <si>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</si>
  <si>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</si>
  <si>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</si>
  <si>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</si>
  <si>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</si>
  <si>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</si>
  <si>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</si>
  <si>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</si>
  <si>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</si>
  <si>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</si>
  <si>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</si>
  <si>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</si>
  <si>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</si>
  <si>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</si>
  <si>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</si>
  <si>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</si>
  <si>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</si>
  <si>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</si>
  <si>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</si>
  <si>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</si>
  <si>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</si>
  <si>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</si>
  <si>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</si>
  <si>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</si>
  <si>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</si>
  <si>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</si>
  <si>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</si>
  <si>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</si>
  <si>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</si>
  <si>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</si>
  <si>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</si>
  <si>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</si>
  <si>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</si>
  <si>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</si>
  <si>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</si>
  <si>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</si>
  <si>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</si>
  <si>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</si>
  <si>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</si>
  <si>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</si>
  <si>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</si>
  <si>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</si>
  <si>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</si>
  <si>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</si>
  <si>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</si>
  <si>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</si>
  <si>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</si>
  <si>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</si>
  <si>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</si>
  <si>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</si>
  <si>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</si>
  <si>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</si>
  <si>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</si>
  <si>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</si>
  <si>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</si>
  <si>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</si>
  <si>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</si>
  <si>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</si>
  <si>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</si>
  <si>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</si>
  <si>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</si>
  <si>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</si>
  <si>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</si>
  <si>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</si>
  <si>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</si>
  <si>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</si>
  <si>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</si>
  <si>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</si>
  <si>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</si>
  <si>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</si>
  <si>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</si>
  <si>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</si>
  <si>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</si>
  <si>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</si>
  <si>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</si>
  <si>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</si>
  <si>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</si>
  <si>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</si>
  <si>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</si>
  <si>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</si>
  <si>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</si>
  <si>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</si>
  <si>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</si>
  <si>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</si>
  <si>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</si>
  <si>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</si>
  <si>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</si>
  <si>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</si>
  <si>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</si>
  <si>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</si>
  <si>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</si>
  <si>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</si>
  <si>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</si>
  <si>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</si>
  <si>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</si>
  <si>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</si>
  <si>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</si>
  <si>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</si>
  <si>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</si>
  <si>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</si>
  <si>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</si>
  <si>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</si>
  <si>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</si>
  <si>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</si>
  <si>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</si>
  <si>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</si>
  <si>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</si>
  <si>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</si>
  <si>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</si>
  <si>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</si>
  <si>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</si>
  <si>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</si>
  <si>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</si>
  <si>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</si>
  <si>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</si>
  <si>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</si>
  <si>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</si>
  <si>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</si>
  <si>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</si>
  <si>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</si>
  <si>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</si>
  <si>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</si>
  <si>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</si>
  <si>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</si>
  <si>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</si>
  <si>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</si>
  <si>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</si>
  <si>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</si>
  <si>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</si>
  <si>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</si>
  <si>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</si>
  <si>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</si>
  <si>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</si>
  <si>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</si>
  <si>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</si>
  <si>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</si>
  <si>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</si>
  <si>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</si>
  <si>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</si>
  <si>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</si>
  <si>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</si>
  <si>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</si>
  <si>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</si>
  <si>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</si>
  <si>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</si>
  <si>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</si>
  <si>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</si>
  <si>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</si>
  <si>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</si>
  <si>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</si>
  <si>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</si>
  <si>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</si>
  <si>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</si>
  <si>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</si>
  <si>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</si>
  <si>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</si>
  <si>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</si>
  <si>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</si>
  <si>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</si>
  <si>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</si>
  <si>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</si>
  <si>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</si>
  <si>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</si>
  <si>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</si>
  <si>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</si>
  <si>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</si>
  <si>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</si>
  <si>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</si>
  <si>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</si>
  <si>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</si>
  <si>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</si>
  <si>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</si>
  <si>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</si>
  <si>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</si>
  <si>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</si>
  <si>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</si>
  <si>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</si>
  <si>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</si>
  <si>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</si>
  <si>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</si>
  <si>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</si>
  <si>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</si>
  <si>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</si>
  <si>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</si>
  <si>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</si>
  <si>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</si>
  <si>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</si>
  <si>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</si>
  <si>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</si>
  <si>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</si>
  <si>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</si>
  <si>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</si>
  <si>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</si>
  <si>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</si>
  <si>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</si>
  <si>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</si>
  <si>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</si>
  <si>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</si>
  <si>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</si>
  <si>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</si>
  <si>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</si>
  <si>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</si>
  <si>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</si>
  <si>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</si>
  <si>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</si>
  <si>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</si>
  <si>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</si>
  <si>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</si>
  <si>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</si>
  <si>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</si>
  <si>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</si>
  <si>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</si>
  <si>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</si>
  <si>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</si>
  <si>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</si>
  <si>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</si>
  <si>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</si>
  <si>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</si>
  <si>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</si>
  <si>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</si>
  <si>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</si>
  <si>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</si>
  <si>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</si>
  <si>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</si>
  <si>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</si>
  <si>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</si>
  <si>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</si>
  <si>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</si>
  <si>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</si>
  <si>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</si>
  <si>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</si>
  <si>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</si>
  <si>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</si>
  <si>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</si>
  <si>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</si>
  <si>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</si>
  <si>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</si>
  <si>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</si>
  <si>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</si>
  <si>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</si>
  <si>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</si>
  <si>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</si>
  <si>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</si>
  <si>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</si>
  <si>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</si>
  <si>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</si>
  <si>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</si>
  <si>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</si>
  <si>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</si>
  <si>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</si>
  <si>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</si>
  <si>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</si>
  <si>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</si>
  <si>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</si>
  <si>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</si>
  <si>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</si>
  <si>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</si>
  <si>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</si>
  <si>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</si>
  <si>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</si>
  <si>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</si>
  <si>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</si>
  <si>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</si>
  <si>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</si>
  <si>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</si>
  <si>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</si>
  <si>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</si>
  <si>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</si>
  <si>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</si>
  <si>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</si>
  <si>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</si>
  <si>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</si>
  <si>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</si>
  <si>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</si>
  <si>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</si>
  <si>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</si>
  <si>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</si>
  <si>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</si>
  <si>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</si>
  <si>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</si>
  <si>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</si>
  <si>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</si>
  <si>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</si>
  <si>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</si>
  <si>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</si>
  <si>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</si>
  <si>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</si>
  <si>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</si>
  <si>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</si>
  <si>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</si>
  <si>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</si>
  <si>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</si>
  <si>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</si>
  <si>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</si>
  <si>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</si>
  <si>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</si>
  <si>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</si>
  <si>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</si>
  <si>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</si>
  <si>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</si>
  <si>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</si>
  <si>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</si>
  <si>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</si>
  <si>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</si>
  <si>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</si>
  <si>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</si>
  <si>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</si>
  <si>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</si>
  <si>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</si>
  <si>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</si>
  <si>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</si>
  <si>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</si>
  <si>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</si>
  <si>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</si>
  <si>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</si>
  <si>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</si>
  <si>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</si>
  <si>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</si>
  <si>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</si>
  <si>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</si>
  <si>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</si>
  <si>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</si>
  <si>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</si>
  <si>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</si>
  <si>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</si>
  <si>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</si>
  <si>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</si>
  <si>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</si>
  <si>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</si>
  <si>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</si>
  <si>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</si>
  <si>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</si>
  <si>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</si>
  <si>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</si>
  <si>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</si>
  <si>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</si>
  <si>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</si>
  <si>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</si>
  <si>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</si>
  <si>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</si>
  <si>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</si>
  <si>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</si>
  <si>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</si>
  <si>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</si>
  <si>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</si>
  <si>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</si>
  <si>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</si>
  <si>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</si>
  <si>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</si>
  <si>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</si>
  <si>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</si>
  <si>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</si>
  <si>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</si>
  <si>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</si>
  <si>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</si>
  <si>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</si>
  <si>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</si>
  <si>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</si>
  <si>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</si>
  <si>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</si>
  <si>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</si>
  <si>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</si>
  <si>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</si>
  <si>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</si>
  <si>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</si>
  <si>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</si>
  <si>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</si>
  <si>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</si>
  <si>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</si>
  <si>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</si>
  <si>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</si>
  <si>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</si>
  <si>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</si>
  <si>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</si>
  <si>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</si>
  <si>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</si>
  <si>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</si>
  <si>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</si>
  <si>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</si>
  <si>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</si>
  <si>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</si>
  <si>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</si>
  <si>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</si>
  <si>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</si>
  <si>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</si>
  <si>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</si>
  <si>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</si>
  <si>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</si>
  <si>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</si>
  <si>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</si>
  <si>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</si>
  <si>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</si>
  <si>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</si>
  <si>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</si>
  <si>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</si>
  <si>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</si>
  <si>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</si>
  <si>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</si>
  <si>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</si>
  <si>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</si>
  <si>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</si>
  <si>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</si>
  <si>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</si>
  <si>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</si>
  <si>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</si>
  <si>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</si>
  <si>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</si>
  <si>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</si>
  <si>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</si>
  <si>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</si>
  <si>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</si>
  <si>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</si>
  <si>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</si>
  <si>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</si>
  <si>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</si>
  <si>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</si>
  <si>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</si>
  <si>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</si>
  <si>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</si>
  <si>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</si>
  <si>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</si>
  <si>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</si>
  <si>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</si>
  <si>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</si>
  <si>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</si>
  <si>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</si>
  <si>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</si>
  <si>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</si>
  <si>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</si>
  <si>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</si>
  <si>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</si>
  <si>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</si>
  <si>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</si>
  <si>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</si>
  <si>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</si>
  <si>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</si>
  <si>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</si>
  <si>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</si>
  <si>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</si>
  <si>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</si>
  <si>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</si>
  <si>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</si>
  <si>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</si>
  <si>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</si>
  <si>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</si>
  <si>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</si>
  <si>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</si>
  <si>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</si>
  <si>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</si>
  <si>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</si>
  <si>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</si>
  <si>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</si>
  <si>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</si>
  <si>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</si>
  <si>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</si>
  <si>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</si>
  <si>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</si>
  <si>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</si>
  <si>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</si>
  <si>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</si>
  <si>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</si>
  <si>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</si>
  <si>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</si>
  <si>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</si>
  <si>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</si>
  <si>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</si>
  <si>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</si>
  <si>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</si>
  <si>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</si>
  <si>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</si>
  <si>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</si>
  <si>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</si>
  <si>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</si>
  <si>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</si>
  <si>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</si>
  <si>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</si>
  <si>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</si>
  <si>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</si>
  <si>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</si>
  <si>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</si>
  <si>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</si>
  <si>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</si>
  <si>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</si>
  <si>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</si>
  <si>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</si>
  <si>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</si>
  <si>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</si>
  <si>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</si>
  <si>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</si>
  <si>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</si>
  <si>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</si>
  <si>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</si>
  <si>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</si>
  <si>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</si>
  <si>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</si>
  <si>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</si>
  <si>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</si>
  <si>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</si>
  <si>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</si>
  <si>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</si>
  <si>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</si>
  <si>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</si>
  <si>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</si>
  <si>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</si>
  <si>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</si>
  <si>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</si>
  <si>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</si>
  <si>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</si>
  <si>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</si>
  <si>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</si>
  <si>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</si>
  <si>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</si>
  <si>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</si>
  <si>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</si>
  <si>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</si>
  <si>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</si>
  <si>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</si>
  <si>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</si>
  <si>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</si>
  <si>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</si>
  <si>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</si>
  <si>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</si>
  <si>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</si>
  <si>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</si>
  <si>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</si>
  <si>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</si>
  <si>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</si>
  <si>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</si>
  <si>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</si>
  <si>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</si>
  <si>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</si>
  <si>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</si>
  <si>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</si>
  <si>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</si>
  <si>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</si>
  <si>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</si>
  <si>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</si>
  <si>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</si>
  <si>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</si>
  <si>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</si>
  <si>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</si>
  <si>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</si>
  <si>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</si>
  <si>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</si>
  <si>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</si>
  <si>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</si>
  <si>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</si>
  <si>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</si>
  <si>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</si>
  <si>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</si>
  <si>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</si>
  <si>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</si>
  <si>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</si>
  <si>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</si>
  <si>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</si>
  <si>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</si>
  <si>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</si>
  <si>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</si>
  <si>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</si>
  <si>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</si>
  <si>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</si>
  <si>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</si>
  <si>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</si>
  <si>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</si>
  <si>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</si>
  <si>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</si>
  <si>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</si>
  <si>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</si>
  <si>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</si>
  <si>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</si>
  <si>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</si>
  <si>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</si>
  <si>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</si>
  <si>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</si>
  <si>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</si>
  <si>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</si>
  <si>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</si>
  <si>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</si>
  <si>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</si>
  <si>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</si>
  <si>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</si>
  <si>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</si>
  <si>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</si>
  <si>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</si>
  <si>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</si>
  <si>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</si>
  <si>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</si>
  <si>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</si>
  <si>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</si>
  <si>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</si>
  <si>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</si>
  <si>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</si>
  <si>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</si>
  <si>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</si>
  <si>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</si>
  <si>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</si>
  <si>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</si>
  <si>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</si>
  <si>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</si>
  <si>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</si>
  <si>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</si>
  <si>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</si>
  <si>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</si>
  <si>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</si>
  <si>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</si>
  <si>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</si>
  <si>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</si>
  <si>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</si>
  <si>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</si>
  <si>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</si>
  <si>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</si>
  <si>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</si>
  <si>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</si>
  <si>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</si>
  <si>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</si>
  <si>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</si>
  <si>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</si>
  <si>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</si>
  <si>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</si>
  <si>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</si>
  <si>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</si>
  <si>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</si>
  <si>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</si>
  <si>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</si>
  <si>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</si>
  <si>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</si>
  <si>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</si>
  <si>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</si>
  <si>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</si>
  <si>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</si>
  <si>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</si>
  <si>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</si>
  <si>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</si>
  <si>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</si>
  <si>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</si>
  <si>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</si>
  <si>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</si>
  <si>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</si>
  <si>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</si>
  <si>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</si>
  <si>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</si>
  <si>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</si>
  <si>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</si>
  <si>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</si>
  <si>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</si>
  <si>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</si>
  <si>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</si>
  <si>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</si>
  <si>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</si>
  <si>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</si>
  <si>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</si>
  <si>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</si>
  <si>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</si>
  <si>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</si>
  <si>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</si>
  <si>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</si>
  <si>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</si>
  <si>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</si>
  <si>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</si>
  <si>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</si>
  <si>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</si>
  <si>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</si>
  <si>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</si>
  <si>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</si>
  <si>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</si>
  <si>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</si>
  <si>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</si>
  <si>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</si>
  <si>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</si>
  <si>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</si>
  <si>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</si>
  <si>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</si>
  <si>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</si>
  <si>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</si>
  <si>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</si>
  <si>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</si>
  <si>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</si>
  <si>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</si>
  <si>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</si>
  <si>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</si>
  <si>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</si>
  <si>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</si>
  <si>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</si>
  <si>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</si>
  <si>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</si>
  <si>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</si>
  <si>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</si>
  <si>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</si>
  <si>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</si>
  <si>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</si>
  <si>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</si>
  <si>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</si>
  <si>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</si>
  <si>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</si>
  <si>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</si>
  <si>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</si>
  <si>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</si>
  <si>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</si>
  <si>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</si>
  <si>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</si>
  <si>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</si>
  <si>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</si>
  <si>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</si>
  <si>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</si>
  <si>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</si>
  <si>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</si>
  <si>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</si>
  <si>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</si>
  <si>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</si>
  <si>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</si>
  <si>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</si>
  <si>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</si>
  <si>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</si>
  <si>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</si>
  <si>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</si>
  <si>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</si>
  <si>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</si>
  <si>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</si>
  <si>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</si>
  <si>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</si>
  <si>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</si>
  <si>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</si>
  <si>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</si>
  <si>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</si>
  <si>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</si>
  <si>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</si>
  <si>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</si>
  <si>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</si>
  <si>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</si>
  <si>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</si>
  <si>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</si>
  <si>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</si>
  <si>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</si>
  <si>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</si>
  <si>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</si>
  <si>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</si>
  <si>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</si>
  <si>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</si>
  <si>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</si>
  <si>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</si>
  <si>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</si>
  <si>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</si>
  <si>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</si>
  <si>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</si>
  <si>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</si>
  <si>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</si>
  <si>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</si>
  <si>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</si>
  <si>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</si>
  <si>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</si>
  <si>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</si>
  <si>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</si>
  <si>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</si>
  <si>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</si>
  <si>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</si>
  <si>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</si>
  <si>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</si>
  <si>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</si>
  <si>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</si>
  <si>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</si>
  <si>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</si>
  <si>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</si>
  <si>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</si>
  <si>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</si>
  <si>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</si>
  <si>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</si>
  <si>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</si>
  <si>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</si>
  <si>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</si>
  <si>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</si>
  <si>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</si>
  <si>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</si>
  <si>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</si>
  <si>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</si>
  <si>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</si>
  <si>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</si>
  <si>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</si>
  <si>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</si>
  <si>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</si>
  <si>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</si>
  <si>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</si>
  <si>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</si>
  <si>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</si>
  <si>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</si>
  <si>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ARAGON</t>
  </si>
  <si>
    <t>Provincias</t>
  </si>
  <si>
    <t>HUESCA</t>
  </si>
  <si>
    <t>Resumenes por Partidos Judiciales</t>
  </si>
  <si>
    <t>BARBASTRO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</si>
</sst>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4yQFNhZSQ5/5KlF6bUAXSM/V3CxtWBwUsR8heH6fRnJ3cozNmWMo63lHJKn6nmDWVW8+aPyLIiyKCwXq1POsLQ==" saltValue="7b16agw7PsM5FHPU0l/pI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ARAGON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v>
      </c>
      <c r="D10" s="224">
        <f>IF(ISNUMBER(Datos!I10),Datos!I10," - ")</f>
        <v>3</v>
      </c>
      <c r="E10" s="225">
        <f>IF(ISNUMBER(Datos!J10),Datos!J10," - ")</f>
        <v>1</v>
      </c>
      <c r="F10" s="225">
        <f>IF(ISNUMBER(Datos!K10),Datos!K10," - ")</f>
        <v>0</v>
      </c>
      <c r="G10" s="1029" t="str">
        <f>IF(Datos!E10&lt;&gt;"",Datos!E10,Datos!D10)</f>
        <v>37</v>
      </c>
      <c r="H10" s="226">
        <f>IF(ISNUMBER(Datos!L10),Datos!L10," - ")</f>
        <v>4</v>
      </c>
      <c r="I10" s="1039" t="str">
        <f>IF(ISNUMBER(Datos!AS10/Datos!BM10),Datos!AS10/Datos!BM10," - ")</f>
        <v xml:space="preserve"> - </v>
      </c>
      <c r="J10" s="1040">
        <f>IF(ISNUMBER(Datos!BY10/Datos!CN10),Datos!BY10/Datos!CN10," - ")</f>
        <v>0</v>
      </c>
      <c r="K10" s="229">
        <f t="shared" ref="K10:K12" si="1">IF(ISNUMBER((E10-F10)/C10),(E10-F10)/C10," - ")</f>
        <v>0.33333333333333331</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24.444444444444446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v>
      </c>
      <c r="D13" s="1044">
        <f>SUBTOTAL(9,D9:D12)</f>
        <v>3</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670</v>
      </c>
      <c r="D17" s="224">
        <f>IF(ISNUMBER(IF(D_I="SI",Datos!I17,Datos!I17+Datos!AC17)),IF(D_I="SI",Datos!I17,Datos!I17+Datos!AC17)," - ")</f>
        <v>665</v>
      </c>
      <c r="E17" s="225">
        <f>IF(ISNUMBER(IF(D_I="SI",Datos!J17,Datos!J17+Datos!AD17)),IF(D_I="SI",Datos!J17,Datos!J17+Datos!AD17)," - ")</f>
        <v>276</v>
      </c>
      <c r="F17" s="225">
        <f>IF(ISNUMBER(IF(D_I="SI",Datos!K17,Datos!K17+Datos!AE17)),IF(D_I="SI",Datos!K17,Datos!K17+Datos!AE17)," - ")</f>
        <v>288</v>
      </c>
      <c r="G17" s="1029" t="str">
        <f>IF(Datos!E17&lt;&gt;"",Datos!E17,Datos!D17)</f>
        <v>04</v>
      </c>
      <c r="H17" s="226">
        <f>IF(ISNUMBER(IF(D_I="SI",Datos!L17,Datos!L17+Datos!AF17)),IF(D_I="SI",Datos!L17,Datos!L17+Datos!AF17)," - ")</f>
        <v>658</v>
      </c>
      <c r="I17" s="1039" t="str">
        <f>IF(ISNUMBER(Datos!AS17/Datos!BM17),Datos!AS17/Datos!BM17," - ")</f>
        <v xml:space="preserve"> - </v>
      </c>
      <c r="J17" s="1040">
        <f>IF(ISNUMBER(Datos!BY17/Datos!CN17),Datos!BY17/Datos!CN17," - ")</f>
        <v>0</v>
      </c>
      <c r="K17" s="229">
        <f t="shared" si="3"/>
        <v>-1.7910447761194031E-2</v>
      </c>
      <c r="L17" s="1020">
        <f>IF(ISNUMBER(NºAsuntos!I17/NºAsuntos!G17),(NºAsuntos!I17/NºAsuntos!G17)*11," - ")</f>
        <v>25.131944444444446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23</v>
      </c>
      <c r="D18" s="224">
        <f>IF(ISNUMBER(IF(D_I="SI",Datos!I18,Datos!I18+Datos!AC18)),IF(D_I="SI",Datos!I18,Datos!I18+Datos!AC18)," - ")</f>
        <v>22</v>
      </c>
      <c r="E18" s="225">
        <f>IF(ISNUMBER(IF(D_I="SI",Datos!J18,Datos!J18+Datos!AD18)),IF(D_I="SI",Datos!J18,Datos!J18+Datos!AD18)," - ")</f>
        <v>9</v>
      </c>
      <c r="F18" s="225">
        <f>IF(ISNUMBER(IF(D_I="SI",Datos!K18,Datos!K18+Datos!AE18)),IF(D_I="SI",Datos!K18,Datos!K18+Datos!AE18)," - ")</f>
        <v>16</v>
      </c>
      <c r="G18" s="1029" t="str">
        <f>IF(Datos!E18&lt;&gt;"",Datos!E18,Datos!D18)</f>
        <v>37</v>
      </c>
      <c r="H18" s="226">
        <f>IF(ISNUMBER(IF(D_I="SI",Datos!L18,Datos!L18+Datos!AF18)),IF(D_I="SI",Datos!L18,Datos!L18+Datos!AF18)," - ")</f>
        <v>16</v>
      </c>
      <c r="I18" s="1039" t="str">
        <f>IF(ISNUMBER(Datos!AS18/Datos!BM18),Datos!AS18/Datos!BM18," - ")</f>
        <v xml:space="preserve"> - </v>
      </c>
      <c r="J18" s="1040" t="str">
        <f>IF(ISNUMBER((Datos!BY18+Datos!BZ18)/Datos!CN18),(Datos!BY18+Datos!BZ18)/Datos!CN18," - ")</f>
        <v xml:space="preserve"> - </v>
      </c>
      <c r="K18" s="229">
        <f t="shared" si="3"/>
        <v>-0.30434782608695654</v>
      </c>
      <c r="L18" s="1020">
        <f>IF(ISNUMBER(NºAsuntos!I18/NºAsuntos!G18),(NºAsuntos!I18/NºAsuntos!G18)*11," - ")</f>
        <v>11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693</v>
      </c>
      <c r="D19" s="1044">
        <f>SUBTOTAL(9,D15:D18)</f>
        <v>687</v>
      </c>
      <c r="E19" s="1045">
        <f>SUBTOTAL(9,E15:E18)</f>
        <v>285</v>
      </c>
      <c r="F19" s="1045">
        <f>SUBTOTAL(9,F15:F18)</f>
        <v>304</v>
      </c>
      <c r="G19" s="1047" t="str">
        <f ca="1">INDIRECT(CONCATENATE("G",ROW()-1))</f>
        <v>37</v>
      </c>
      <c r="H19" s="1048">
        <f ca="1">SUMIF(G$14:G18,G19,H$14:H18)</f>
        <v>16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696</v>
      </c>
      <c r="D20" s="1066">
        <f>SUBTOTAL(9,D9:D19)</f>
        <v>690</v>
      </c>
      <c r="E20" s="1067">
        <f>SUBTOTAL(9,E9:E19)</f>
        <v>286</v>
      </c>
      <c r="F20" s="1067">
        <f>SUBTOTAL(9,F9:F19)</f>
        <v>304</v>
      </c>
      <c r="G20" s="1068"/>
      <c r="H20" s="1069">
        <f ca="1">SUMIF(B9:B19,"TOTAL",H9:H19)</f>
        <v>16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7kygUUYKv1+i+Smk4kKR/OCYKfjA1QQKv02t8QBnRC+IqPN7WXAxy5n4olVkCQrMxVq0r1eCoQ7j4AZ7Y+nY3w==" saltValue="w2UNm9dqTcKpFRR2D23Zh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sxk9x7td9lbHn+p04J+wwc3eubCt2zka2Lw4ig87679hFXCaw/EmyOs9lJSM57sZS1BWX5AsuGd3xv29Byzn3A==" saltValue="cfEwg5cbyi6gSlWz45Np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v>
      </c>
      <c r="J10" s="180">
        <v>1</v>
      </c>
      <c r="K10" s="180">
        <v>0</v>
      </c>
      <c r="L10" s="180">
        <v>4</v>
      </c>
      <c r="M10" s="180">
        <v>0</v>
      </c>
      <c r="N10" s="180">
        <v>0</v>
      </c>
      <c r="O10" s="180">
        <v>0</v>
      </c>
      <c r="P10" s="180">
        <v>0</v>
      </c>
      <c r="Q10" s="180">
        <v>0</v>
      </c>
      <c r="R10" s="180">
        <v>0</v>
      </c>
      <c r="S10" s="180">
        <v>2</v>
      </c>
      <c r="T10" s="180">
        <v>2</v>
      </c>
      <c r="U10" s="180">
        <v>4</v>
      </c>
      <c r="V10" s="180">
        <v>0</v>
      </c>
      <c r="W10" s="180">
        <v>0</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2</v>
      </c>
      <c r="BA10" s="129">
        <f t="shared" si="0"/>
        <v>4</v>
      </c>
      <c r="BB10" s="129">
        <f t="shared" si="0"/>
        <v>0</v>
      </c>
      <c r="BC10" s="125">
        <f t="shared" si="0"/>
        <v>0</v>
      </c>
      <c r="BD10" s="126">
        <f>IF(ISNUMBER(BA10/AZ10),BA10/AZ10," - ")</f>
        <v>2</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522</v>
      </c>
      <c r="J12" s="182">
        <v>288</v>
      </c>
      <c r="K12" s="182">
        <v>251</v>
      </c>
      <c r="L12" s="182">
        <v>559</v>
      </c>
      <c r="M12" s="182">
        <v>73</v>
      </c>
      <c r="N12" s="182">
        <v>77</v>
      </c>
      <c r="O12" s="180">
        <v>93</v>
      </c>
      <c r="P12" s="182">
        <v>68</v>
      </c>
      <c r="Q12" s="182">
        <v>97</v>
      </c>
      <c r="R12" s="182">
        <v>1068</v>
      </c>
      <c r="S12" s="182">
        <v>489</v>
      </c>
      <c r="T12" s="182">
        <v>524</v>
      </c>
      <c r="U12" s="182">
        <v>308</v>
      </c>
      <c r="V12" s="182">
        <v>705</v>
      </c>
      <c r="W12" s="182">
        <v>115</v>
      </c>
      <c r="X12" s="188">
        <v>130</v>
      </c>
      <c r="Y12" s="190">
        <v>105</v>
      </c>
      <c r="Z12" s="180">
        <v>42</v>
      </c>
      <c r="AA12" s="180">
        <v>46</v>
      </c>
      <c r="AB12" s="180">
        <v>101</v>
      </c>
      <c r="AC12" s="182">
        <v>0</v>
      </c>
      <c r="AD12" s="182">
        <v>0</v>
      </c>
      <c r="AE12" s="182">
        <v>0</v>
      </c>
      <c r="AF12" s="188">
        <v>0</v>
      </c>
      <c r="AG12" s="201">
        <v>31</v>
      </c>
      <c r="AH12" s="182">
        <v>19</v>
      </c>
      <c r="AI12" s="182">
        <v>21</v>
      </c>
      <c r="AJ12" s="202">
        <v>29</v>
      </c>
      <c r="AK12" s="181">
        <v>0</v>
      </c>
      <c r="AL12" s="182">
        <v>0</v>
      </c>
      <c r="AM12" s="182">
        <v>0</v>
      </c>
      <c r="AN12" s="188">
        <v>0</v>
      </c>
      <c r="AO12" s="258">
        <v>2</v>
      </c>
      <c r="AP12" s="154">
        <v>2</v>
      </c>
      <c r="AQ12" s="154">
        <v>2</v>
      </c>
      <c r="AR12" s="153">
        <v>2</v>
      </c>
      <c r="AS12" s="339" t="s">
        <v>766</v>
      </c>
      <c r="AT12" s="202"/>
      <c r="AU12" s="201"/>
      <c r="AV12" s="202"/>
      <c r="AW12" s="201"/>
      <c r="AX12" s="202"/>
      <c r="AY12" s="126">
        <f t="shared" si="1"/>
        <v>520</v>
      </c>
      <c r="AZ12" s="127">
        <f t="shared" si="1"/>
        <v>543</v>
      </c>
      <c r="BA12" s="127">
        <f t="shared" si="1"/>
        <v>329</v>
      </c>
      <c r="BB12" s="127">
        <f t="shared" si="1"/>
        <v>734</v>
      </c>
      <c r="BC12" s="125">
        <f>IF(ISNUMBER(X12),X12," - ")</f>
        <v>130</v>
      </c>
      <c r="BD12" s="126">
        <f t="shared" si="2"/>
        <v>0.60589318600368325</v>
      </c>
      <c r="BE12" s="127">
        <f t="shared" si="3"/>
        <v>2.231003039513678</v>
      </c>
      <c r="BF12" s="127">
        <f t="shared" si="4"/>
        <v>0.39513677811550152</v>
      </c>
      <c r="BG12" s="195">
        <f t="shared" si="5"/>
        <v>3.231003039513678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525</v>
      </c>
      <c r="J13" s="183">
        <f t="shared" si="6"/>
        <v>289</v>
      </c>
      <c r="K13" s="183">
        <f t="shared" si="6"/>
        <v>251</v>
      </c>
      <c r="L13" s="183">
        <f t="shared" si="6"/>
        <v>563</v>
      </c>
      <c r="M13" s="183">
        <f t="shared" si="6"/>
        <v>73</v>
      </c>
      <c r="N13" s="183">
        <f t="shared" si="6"/>
        <v>77</v>
      </c>
      <c r="O13" s="183">
        <f t="shared" si="6"/>
        <v>93</v>
      </c>
      <c r="P13" s="183">
        <f t="shared" si="6"/>
        <v>68</v>
      </c>
      <c r="Q13" s="183">
        <f t="shared" si="6"/>
        <v>97</v>
      </c>
      <c r="R13" s="183">
        <f t="shared" si="6"/>
        <v>1068</v>
      </c>
      <c r="S13" s="183">
        <f t="shared" si="6"/>
        <v>491</v>
      </c>
      <c r="T13" s="183">
        <f t="shared" si="6"/>
        <v>526</v>
      </c>
      <c r="U13" s="183">
        <f t="shared" si="6"/>
        <v>312</v>
      </c>
      <c r="V13" s="183">
        <f t="shared" si="6"/>
        <v>705</v>
      </c>
      <c r="W13" s="183">
        <f t="shared" si="6"/>
        <v>115</v>
      </c>
      <c r="X13" s="183">
        <f t="shared" si="6"/>
        <v>133</v>
      </c>
      <c r="Y13" s="183">
        <f t="shared" si="6"/>
        <v>105</v>
      </c>
      <c r="Z13" s="183">
        <f t="shared" si="6"/>
        <v>42</v>
      </c>
      <c r="AA13" s="183">
        <f t="shared" si="6"/>
        <v>46</v>
      </c>
      <c r="AB13" s="183">
        <f t="shared" si="6"/>
        <v>101</v>
      </c>
      <c r="AC13" s="183">
        <f t="shared" si="6"/>
        <v>0</v>
      </c>
      <c r="AD13" s="183">
        <f t="shared" si="6"/>
        <v>0</v>
      </c>
      <c r="AE13" s="183">
        <f t="shared" si="6"/>
        <v>0</v>
      </c>
      <c r="AF13" s="183">
        <f>SUBTOTAL(9,AF9:AF12)</f>
        <v>0</v>
      </c>
      <c r="AG13" s="183">
        <f t="shared" ref="AG13:AT13" si="7">SUBTOTAL(9,AG8:AG12)</f>
        <v>31</v>
      </c>
      <c r="AH13" s="183">
        <f t="shared" si="7"/>
        <v>19</v>
      </c>
      <c r="AI13" s="183">
        <f t="shared" si="7"/>
        <v>21</v>
      </c>
      <c r="AJ13" s="183">
        <f t="shared" si="7"/>
        <v>29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522</v>
      </c>
      <c r="AZ13" s="183">
        <f>SUBTOTAL(9,AZ8:AZ12)</f>
        <v>545</v>
      </c>
      <c r="BA13" s="183">
        <f>SUBTOTAL(9,BA8:BA12)</f>
        <v>333</v>
      </c>
      <c r="BB13" s="183">
        <f>SUBTOTAL(9,BB8:BB12)</f>
        <v>734</v>
      </c>
      <c r="BC13" s="183">
        <f>SUBTOTAL(9,BC8:BC12)</f>
        <v>130</v>
      </c>
      <c r="BD13" s="204">
        <f>IF(ISNUMBER(BA13/AZ13),BA13/AZ13," - ")</f>
        <v>0.61100917431192658</v>
      </c>
      <c r="BE13" s="205">
        <f>IF(ISNUMBER(BB13/BA13),BB13/BA13, " - ")</f>
        <v>2.204204204204204</v>
      </c>
      <c r="BF13" s="205">
        <f>IF(ISNUMBER(BC13/BA13),BC13/BA13, " - ")</f>
        <v>0.39039039039039036</v>
      </c>
      <c r="BG13" s="206">
        <f>IF(ISNUMBER((AY13+AZ13)/BA13),(AY13+AZ13)/BA13," - ")</f>
        <v>3.204204204204204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665</v>
      </c>
      <c r="J17" s="182">
        <v>276</v>
      </c>
      <c r="K17" s="182">
        <v>288</v>
      </c>
      <c r="L17" s="182">
        <v>658</v>
      </c>
      <c r="M17" s="182">
        <v>29</v>
      </c>
      <c r="N17" s="182">
        <v>159</v>
      </c>
      <c r="O17" s="180">
        <v>0</v>
      </c>
      <c r="P17" s="182">
        <v>8</v>
      </c>
      <c r="Q17" s="182">
        <v>11</v>
      </c>
      <c r="R17" s="182">
        <v>22</v>
      </c>
      <c r="S17" s="182">
        <v>415</v>
      </c>
      <c r="T17" s="182">
        <v>401</v>
      </c>
      <c r="U17" s="182">
        <v>311</v>
      </c>
      <c r="V17" s="182">
        <v>509</v>
      </c>
      <c r="W17" s="182">
        <v>35</v>
      </c>
      <c r="X17" s="188">
        <v>200</v>
      </c>
      <c r="Y17" s="201">
        <v>0</v>
      </c>
      <c r="Z17" s="182">
        <v>0</v>
      </c>
      <c r="AA17" s="182">
        <v>0</v>
      </c>
      <c r="AB17" s="182">
        <v>0</v>
      </c>
      <c r="AC17" s="182">
        <v>0</v>
      </c>
      <c r="AD17" s="182">
        <v>0</v>
      </c>
      <c r="AE17" s="182">
        <v>0</v>
      </c>
      <c r="AF17" s="188">
        <v>0</v>
      </c>
      <c r="AG17" s="201">
        <v>0</v>
      </c>
      <c r="AH17" s="182">
        <v>0</v>
      </c>
      <c r="AI17" s="182">
        <v>0</v>
      </c>
      <c r="AJ17" s="202">
        <v>0</v>
      </c>
      <c r="AK17" s="181">
        <v>0</v>
      </c>
      <c r="AL17" s="182">
        <v>1</v>
      </c>
      <c r="AM17" s="182">
        <v>1</v>
      </c>
      <c r="AN17" s="188">
        <v>0</v>
      </c>
      <c r="AO17" s="258">
        <v>2</v>
      </c>
      <c r="AP17" s="154">
        <v>2</v>
      </c>
      <c r="AQ17" s="154">
        <v>2</v>
      </c>
      <c r="AR17" s="154">
        <v>2</v>
      </c>
      <c r="AS17" s="339" t="s">
        <v>486</v>
      </c>
      <c r="AT17" s="202"/>
      <c r="AU17" s="201"/>
      <c r="AV17" s="202"/>
      <c r="AW17" s="201"/>
      <c r="AX17" s="202"/>
      <c r="AY17" s="126">
        <f t="shared" si="9"/>
        <v>415</v>
      </c>
      <c r="AZ17" s="127">
        <f t="shared" si="9"/>
        <v>401</v>
      </c>
      <c r="BA17" s="127">
        <f t="shared" si="9"/>
        <v>311</v>
      </c>
      <c r="BB17" s="127">
        <f t="shared" si="9"/>
        <v>509</v>
      </c>
      <c r="BC17" s="125">
        <f>IF(ISNUMBER(W17),W17," - ")</f>
        <v>35</v>
      </c>
      <c r="BD17" s="126">
        <f t="shared" ref="BD17" si="16">IF(ISNUMBER(BA17/AZ17),BA17/AZ17," - ")</f>
        <v>0.77556109725685785</v>
      </c>
      <c r="BE17" s="127">
        <f t="shared" ref="BE17" si="17">IF(ISNUMBER(BB17/BA17),BB17/BA17, " - ")</f>
        <v>1.6366559485530547</v>
      </c>
      <c r="BF17" s="127">
        <f t="shared" ref="BF17" si="18">IF(ISNUMBER(BC17/BA17),BC17/BA17, " - ")</f>
        <v>0.11254019292604502</v>
      </c>
      <c r="BG17" s="195">
        <f t="shared" si="10"/>
        <v>2.6237942122186495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22</v>
      </c>
      <c r="J18" s="182">
        <v>9</v>
      </c>
      <c r="K18" s="182">
        <v>16</v>
      </c>
      <c r="L18" s="182">
        <v>16</v>
      </c>
      <c r="M18" s="182">
        <v>2</v>
      </c>
      <c r="N18" s="182">
        <v>15</v>
      </c>
      <c r="O18" s="182">
        <v>0</v>
      </c>
      <c r="P18" s="182">
        <v>0</v>
      </c>
      <c r="Q18" s="182">
        <v>0</v>
      </c>
      <c r="R18" s="182">
        <v>0</v>
      </c>
      <c r="S18" s="182">
        <v>8</v>
      </c>
      <c r="T18" s="182">
        <v>16</v>
      </c>
      <c r="U18" s="182">
        <v>17</v>
      </c>
      <c r="V18" s="182">
        <v>7</v>
      </c>
      <c r="W18" s="182">
        <v>1</v>
      </c>
      <c r="X18" s="188">
        <v>16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8</v>
      </c>
      <c r="AZ18" s="129">
        <f t="shared" si="19"/>
        <v>16</v>
      </c>
      <c r="BA18" s="129">
        <f t="shared" si="19"/>
        <v>17</v>
      </c>
      <c r="BB18" s="129">
        <f t="shared" si="19"/>
        <v>7</v>
      </c>
      <c r="BC18" s="125">
        <f>IF(ISNUMBER(W18),W18," - ")</f>
        <v>1</v>
      </c>
      <c r="BD18" s="126">
        <f>IF(ISNUMBER(BA18/AZ18),BA18/AZ18," - ")</f>
        <v>1.0625</v>
      </c>
      <c r="BE18" s="127">
        <f>IF(ISNUMBER(BB18/BA18),BB18/BA18, " - ")</f>
        <v>0.41176470588235292</v>
      </c>
      <c r="BF18" s="127">
        <f>IF(ISNUMBER(BC18/BA18),BC18/BA18, " - ")</f>
        <v>5.8823529411764705E-2</v>
      </c>
      <c r="BG18" s="195">
        <f>IF(ISNUMBER((AY18+AZ18)/BA18),(AY18+AZ18)/BA18," - ")</f>
        <v>1.411764705882353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687</v>
      </c>
      <c r="J19" s="183">
        <f t="shared" si="20"/>
        <v>285</v>
      </c>
      <c r="K19" s="183">
        <f t="shared" si="20"/>
        <v>304</v>
      </c>
      <c r="L19" s="183">
        <f t="shared" si="20"/>
        <v>674</v>
      </c>
      <c r="M19" s="183">
        <f t="shared" si="20"/>
        <v>31</v>
      </c>
      <c r="N19" s="183">
        <f t="shared" si="20"/>
        <v>174</v>
      </c>
      <c r="O19" s="183">
        <f t="shared" si="20"/>
        <v>0</v>
      </c>
      <c r="P19" s="183">
        <f t="shared" si="20"/>
        <v>8</v>
      </c>
      <c r="Q19" s="183">
        <f t="shared" si="20"/>
        <v>11</v>
      </c>
      <c r="R19" s="183">
        <f t="shared" si="20"/>
        <v>22</v>
      </c>
      <c r="S19" s="183">
        <f t="shared" si="20"/>
        <v>423</v>
      </c>
      <c r="T19" s="183">
        <f t="shared" si="20"/>
        <v>417</v>
      </c>
      <c r="U19" s="183">
        <f t="shared" si="20"/>
        <v>328</v>
      </c>
      <c r="V19" s="183">
        <f t="shared" si="20"/>
        <v>516</v>
      </c>
      <c r="W19" s="183">
        <f t="shared" si="20"/>
        <v>36</v>
      </c>
      <c r="X19" s="183">
        <f t="shared" si="20"/>
        <v>216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423</v>
      </c>
      <c r="AZ19" s="183">
        <f>SUBTOTAL(9,AZ14:AZ18)</f>
        <v>417</v>
      </c>
      <c r="BA19" s="183">
        <f>SUBTOTAL(9,BA14:BA18)</f>
        <v>328</v>
      </c>
      <c r="BB19" s="183">
        <f>SUBTOTAL(9,BB14:BB18)</f>
        <v>516</v>
      </c>
      <c r="BC19" s="183">
        <f>SUBTOTAL(9,BC14:BC18)</f>
        <v>36</v>
      </c>
      <c r="BD19" s="204">
        <f>IF(ISNUMBER(BA19/AZ19),BA19/AZ19," - ")</f>
        <v>0.78657074340527577</v>
      </c>
      <c r="BE19" s="205">
        <f>IF(ISNUMBER(BB19/BA19),BB19/BA19, " - ")</f>
        <v>1.5731707317073171</v>
      </c>
      <c r="BF19" s="205">
        <f>IF(ISNUMBER(BC19/BA19),BC19/BA19, " - ")</f>
        <v>0.10975609756097561</v>
      </c>
      <c r="BG19" s="206">
        <f>IF(ISNUMBER((AY19+AZ19)/BA19),(AY19+AZ19)/BA19," - ")</f>
        <v>2.5609756097560976</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1212</v>
      </c>
      <c r="J20" s="134">
        <f t="shared" si="23"/>
        <v>574</v>
      </c>
      <c r="K20" s="134">
        <f t="shared" si="23"/>
        <v>555</v>
      </c>
      <c r="L20" s="134">
        <f t="shared" si="23"/>
        <v>1237</v>
      </c>
      <c r="M20" s="134">
        <f t="shared" si="23"/>
        <v>104</v>
      </c>
      <c r="N20" s="134">
        <f t="shared" si="23"/>
        <v>251</v>
      </c>
      <c r="O20" s="134">
        <f t="shared" si="23"/>
        <v>93</v>
      </c>
      <c r="P20" s="134">
        <f t="shared" si="23"/>
        <v>76</v>
      </c>
      <c r="Q20" s="134">
        <f t="shared" si="23"/>
        <v>108</v>
      </c>
      <c r="R20" s="134">
        <f t="shared" si="23"/>
        <v>1090</v>
      </c>
      <c r="S20" s="134">
        <f t="shared" si="23"/>
        <v>914</v>
      </c>
      <c r="T20" s="134">
        <f t="shared" si="23"/>
        <v>943</v>
      </c>
      <c r="U20" s="134">
        <f t="shared" si="23"/>
        <v>640</v>
      </c>
      <c r="V20" s="134">
        <f t="shared" si="23"/>
        <v>1221</v>
      </c>
      <c r="W20" s="134">
        <f t="shared" si="23"/>
        <v>151</v>
      </c>
      <c r="X20" s="134">
        <f t="shared" si="23"/>
        <v>349</v>
      </c>
      <c r="Y20" s="134">
        <f t="shared" si="23"/>
        <v>105</v>
      </c>
      <c r="Z20" s="134">
        <f t="shared" si="23"/>
        <v>42</v>
      </c>
      <c r="AA20" s="134">
        <f t="shared" si="23"/>
        <v>46</v>
      </c>
      <c r="AB20" s="134">
        <f t="shared" si="23"/>
        <v>101</v>
      </c>
      <c r="AC20" s="134">
        <f t="shared" si="23"/>
        <v>0</v>
      </c>
      <c r="AD20" s="134">
        <f t="shared" si="23"/>
        <v>0</v>
      </c>
      <c r="AE20" s="134">
        <f t="shared" si="23"/>
        <v>0</v>
      </c>
      <c r="AF20" s="134">
        <f t="shared" si="23"/>
        <v>0</v>
      </c>
      <c r="AG20" s="134">
        <f t="shared" si="23"/>
        <v>31</v>
      </c>
      <c r="AH20" s="134">
        <f t="shared" si="23"/>
        <v>19</v>
      </c>
      <c r="AI20" s="134">
        <f t="shared" si="23"/>
        <v>21</v>
      </c>
      <c r="AJ20" s="134">
        <f t="shared" si="23"/>
        <v>29</v>
      </c>
      <c r="AK20" s="134">
        <f t="shared" si="23"/>
        <v>0</v>
      </c>
      <c r="AL20" s="134">
        <f t="shared" si="23"/>
        <v>1</v>
      </c>
      <c r="AM20" s="134">
        <f t="shared" si="23"/>
        <v>1</v>
      </c>
      <c r="AN20" s="209">
        <f t="shared" si="23"/>
        <v>0</v>
      </c>
      <c r="AO20" s="210">
        <v>3</v>
      </c>
      <c r="AP20" s="210">
        <v>2</v>
      </c>
      <c r="AQ20" s="210">
        <v>2</v>
      </c>
      <c r="AR20" s="210">
        <v>2</v>
      </c>
      <c r="AS20" s="152">
        <f t="shared" si="23"/>
        <v>0</v>
      </c>
      <c r="AT20" s="152">
        <f t="shared" si="23"/>
        <v>0</v>
      </c>
      <c r="AU20" s="210"/>
      <c r="AV20" s="211"/>
      <c r="AW20" s="210"/>
      <c r="AX20" s="211"/>
      <c r="AY20" s="133">
        <f>SUBTOTAL(9,AY9:AY19)</f>
        <v>945</v>
      </c>
      <c r="AZ20" s="134">
        <f>SUBTOTAL(9,AZ9:AZ19)</f>
        <v>962</v>
      </c>
      <c r="BA20" s="134">
        <f>SUBTOTAL(9,BA9:BA19)</f>
        <v>661</v>
      </c>
      <c r="BB20" s="134">
        <f>SUBTOTAL(9,BB9:BB19)</f>
        <v>1250</v>
      </c>
      <c r="BC20" s="135">
        <f>SUBTOTAL(9,BC9:BC19)</f>
        <v>166</v>
      </c>
      <c r="BD20" s="212">
        <f>IF(ISNUMBER(BA20/AZ20),BA20/AZ20," - ")</f>
        <v>0.68711018711018712</v>
      </c>
      <c r="BE20" s="209">
        <f>IF(ISNUMBER(BB20/BA20),BB20/BA20, " - ")</f>
        <v>1.8910741301059002</v>
      </c>
      <c r="BF20" s="209">
        <f>IF(ISNUMBER(BC20/BA20),BC20/BA20, " - ")</f>
        <v>0.25113464447806355</v>
      </c>
      <c r="BG20" s="135">
        <f>IF(ISNUMBER((AY20+AZ20)/BA20),(AY20+AZ20)/BA20," - ")</f>
        <v>2.8850226928895615</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hnO//VJQjSi3ppcLEz44iJeD1aU/gOQ8vc/gSAWo5VIH+MYv/GvhcBoJ0wujVGx3YZq/T3beNC2hHvmns+SPA==" saltValue="0ASJGe6Mt7TcZGLROTpYT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c82uXw5hjwSGzmUP1tGHMR+9oMeoQR4phldPgx+qNV6ORHTtJYIUIbv3KQDZ1k1Yo9h8vc9NY4v6pUDd1WKeA==" saltValue="HKYdKGOnIvOpCsav9Le1D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ARAGON</v>
      </c>
    </row>
    <row r="2" spans="1:78" ht="16.5" customHeight="1">
      <c r="C2" s="1263" t="str">
        <f>Criterios!A10 &amp;"  "&amp;Criterios!B10 &amp; "  " &amp; IF(NOT(ISBLANK(Criterios!A11)),Criterios!A11 &amp;"  "&amp;Criterios!B11,"")</f>
        <v>Provincias  HUESCA  Resumenes por Partidos Judiciales  BARBASTRO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v>
      </c>
      <c r="G10" s="1246">
        <f>IF(ISNUMBER(Datos!I10),Datos!I10," - ")</f>
        <v>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4</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42</v>
      </c>
      <c r="O12" s="1247"/>
      <c r="P12" s="1247"/>
      <c r="Q12" s="1215">
        <f>IF(ISNUMBER(Datos!P12),Datos!P12,0)</f>
        <v>68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101</v>
      </c>
      <c r="AI12" s="1247" t="str">
        <f>IF(ISNUMBER(Datos!CD12),Datos!CD12,"-")</f>
        <v>-</v>
      </c>
      <c r="AJ12" s="1247" t="str">
        <f>IF(ISNUMBER(Datos!EN12),Datos!EN12," - ")</f>
        <v xml:space="preserve"> - </v>
      </c>
      <c r="AK12" s="1247"/>
      <c r="AL12" s="1258"/>
      <c r="AM12" s="1248">
        <f>IF(ISNUMBER(Datos!R12),Datos!R12," - ")</f>
        <v>1068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73</v>
      </c>
      <c r="BD12" s="1218">
        <f>IF(ISNUMBER(Datos!N12),Datos!N12," - ")</f>
        <v>77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v>
      </c>
      <c r="BH12" s="1226">
        <f>IF(ISNUMBER(((IF(J_V="SI",Datos!L12/Datos!K12,(Datos!L12+Datos!AB12)/(Datos!K12+Datos!AA12)))*11)/factor_trimestre),((IF(J_V="SI",Datos!L12/Datos!K12,(Datos!L12+Datos!AB12)/(Datos!K12+Datos!AA12)))*11)/factor_trimestre," - ")</f>
        <v>6.6666666666666679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-2.6435733819507749E-2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3</v>
      </c>
      <c r="G13" s="1391">
        <f t="shared" si="0"/>
        <v>3</v>
      </c>
      <c r="H13" s="1392">
        <f t="shared" si="0"/>
        <v>0</v>
      </c>
      <c r="I13" s="1391">
        <f t="shared" si="0"/>
        <v>0</v>
      </c>
      <c r="J13" s="1383">
        <f t="shared" si="0"/>
        <v>0</v>
      </c>
      <c r="K13" s="1383">
        <f t="shared" si="0"/>
        <v>0</v>
      </c>
      <c r="L13" s="1392">
        <f t="shared" si="0"/>
        <v>0</v>
      </c>
      <c r="M13" s="1392">
        <f t="shared" si="0"/>
        <v>0</v>
      </c>
      <c r="N13" s="1392">
        <f t="shared" si="0"/>
        <v>42</v>
      </c>
      <c r="O13" s="1393">
        <f t="shared" si="0"/>
        <v>0</v>
      </c>
      <c r="P13" s="1393">
        <f t="shared" si="0"/>
        <v>0</v>
      </c>
      <c r="Q13" s="1392">
        <f t="shared" si="0"/>
        <v>68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97</v>
      </c>
      <c r="AD13" s="1392">
        <f t="shared" si="1"/>
        <v>0</v>
      </c>
      <c r="AE13" s="1392">
        <f t="shared" si="1"/>
        <v>0</v>
      </c>
      <c r="AF13" s="1392">
        <f t="shared" si="1"/>
        <v>4</v>
      </c>
      <c r="AG13" s="1392">
        <f t="shared" si="1"/>
        <v>0</v>
      </c>
      <c r="AH13" s="1392">
        <f t="shared" si="1"/>
        <v>101</v>
      </c>
      <c r="AI13" s="1392">
        <f t="shared" si="1"/>
        <v>0</v>
      </c>
      <c r="AJ13" s="1392">
        <f t="shared" si="1"/>
        <v>0</v>
      </c>
      <c r="AK13" s="1392">
        <f t="shared" si="1"/>
        <v>0</v>
      </c>
      <c r="AL13" s="1392">
        <f t="shared" si="1"/>
        <v>0</v>
      </c>
      <c r="AM13" s="1392">
        <f t="shared" si="1"/>
        <v>1068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73</v>
      </c>
      <c r="BD13" s="1392">
        <f t="shared" si="1"/>
        <v>77</v>
      </c>
      <c r="BE13" s="1392">
        <f t="shared" si="1"/>
        <v>0</v>
      </c>
      <c r="BF13" s="1392">
        <f t="shared" si="1"/>
        <v>0</v>
      </c>
      <c r="BG13" s="1392">
        <f>IF(ISNUMBER(Datos!K13/Datos!J13),Datos!K13/Datos!J13," - ")</f>
        <v>0.86851211072664358</v>
      </c>
      <c r="BH13" s="1396">
        <f>IF(ISNUMBER(((Datos!L13/Datos!K13)*11)/factor_trimestre),((Datos!L13/Datos!K13)*11)/factor_trimestre," - ")</f>
        <v>6.7290836653386457</v>
      </c>
      <c r="BI13" s="1392">
        <f>IF(ISNUMBER('Resol  Asuntos'!D13/NºAsuntos!G13),'Resol  Asuntos'!D13/NºAsuntos!G13," - ")</f>
        <v>0.24579124579124578</v>
      </c>
      <c r="BJ13" s="1392" t="str">
        <f>IF(ISNUMBER(Datos!CI13/Datos!CJ13),Datos!CI13/Datos!CJ13," - ")</f>
        <v xml:space="preserve"> - </v>
      </c>
      <c r="BK13" s="1392">
        <f>SUBTOTAL(9,BK8:BK12)</f>
        <v>0</v>
      </c>
      <c r="BL13" s="1392">
        <f>IF(ISNUMBER((I13-AB13+L13)/(F13)),(I13-AB13+L13)/(F13)," - ")</f>
        <v>0</v>
      </c>
      <c r="BM13" s="1397">
        <f>SUBTOTAL(9,BM9:BM12)</f>
        <v>-2.6435733819507749E-2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670</v>
      </c>
      <c r="G17" s="1335">
        <f>IF(ISNUMBER(IF(D_I="SI",Datos!I17,Datos!I17+Datos!AC17)),IF(D_I="SI",Datos!I17,Datos!I17+Datos!AC17)," - ")</f>
        <v>665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288</v>
      </c>
      <c r="AC17" s="1215">
        <f>IF(ISNUMBER(Datos!Q17),Datos!Q17," - ")</f>
        <v>11</v>
      </c>
      <c r="AD17" s="1247"/>
      <c r="AE17" s="1262"/>
      <c r="AF17" s="1333">
        <f>IF(ISNUMBER(IF(D_I="SI",Datos!L17,Datos!L17+Datos!AF17)),IF(D_I="SI",Datos!L17,Datos!L17+Datos!AF17)," - ")</f>
        <v>658</v>
      </c>
      <c r="AG17" s="1247"/>
      <c r="AH17" s="1247"/>
      <c r="AI17" s="1247"/>
      <c r="AJ17" s="1247"/>
      <c r="AK17" s="1247"/>
      <c r="AL17" s="1258"/>
      <c r="AM17" s="1248">
        <f>IF(ISNUMBER(Datos!R17),Datos!R17," - ")</f>
        <v>22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29</v>
      </c>
      <c r="BD17" s="1218">
        <f>IF(ISNUMBER(Datos!N17),Datos!N17," - ")</f>
        <v>159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1.0434782608695652</v>
      </c>
      <c r="BH17" s="1226">
        <f>IF(ISNUMBER(((IF(D_I="SI",Datos!L17/Datos!K17,(Datos!L17+Datos!AF17)/(Datos!K17+Datos!AE17)))*11)/factor_trimestre),((IF(D_I="SI",Datos!L17/Datos!K17,(Datos!L17+Datos!AF17)/(Datos!K17+Datos!AE17)))*11)/factor_trimestre," - ")</f>
        <v>6.8541666666666679</v>
      </c>
      <c r="BI17" s="1223">
        <f>IF(ISNUMBER('Resol  Asuntos'!D17/NºAsuntos!G17),'Resol  Asuntos'!D17/NºAsuntos!G17," - ")</f>
        <v>0.10069444444444445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v>
      </c>
      <c r="AC18" s="1215">
        <f>IF(ISNUMBER(Datos!Q18),Datos!Q18," - ")</f>
        <v>0</v>
      </c>
      <c r="AD18" s="1247"/>
      <c r="AE18" s="1262"/>
      <c r="AF18" s="1245">
        <f>IF(ISNUMBER(Datos!L18),Datos!L18,"-")</f>
        <v>16</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15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1.7777777777777777</v>
      </c>
      <c r="BH18" s="1226">
        <f>IF(ISNUMBER(((IF(D_I="SI",Datos!L18/Datos!K18,(Datos!L18+Datos!AF18)/(Datos!K18+Datos!AE18)))*11)/factor_trimestre),((IF(D_I="SI",Datos!L18/Datos!K18,(Datos!L18+Datos!AF18)/(Datos!K18+Datos!AE18)))*11)/factor_trimestre," - ")</f>
        <v>3</v>
      </c>
      <c r="BI18" s="1223">
        <f>IF(ISNUMBER('Resol  Asuntos'!D18/NºAsuntos!G18),'Resol  Asuntos'!D18/NºAsuntos!G18," - ")</f>
        <v>0.125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670</v>
      </c>
      <c r="G19" s="1391">
        <f>SUBTOTAL(9,G15:G18)</f>
        <v>687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304</v>
      </c>
      <c r="AC19" s="1392">
        <f t="shared" si="4"/>
        <v>11</v>
      </c>
      <c r="AD19" s="1392">
        <f t="shared" si="4"/>
        <v>0</v>
      </c>
      <c r="AE19" s="1392">
        <f t="shared" si="4"/>
        <v>0</v>
      </c>
      <c r="AF19" s="1392">
        <f t="shared" si="4"/>
        <v>674</v>
      </c>
      <c r="AG19" s="1392">
        <f t="shared" si="4"/>
        <v>0</v>
      </c>
      <c r="AH19" s="1392">
        <f t="shared" si="4"/>
        <v>0</v>
      </c>
      <c r="AI19" s="1392">
        <f t="shared" si="4"/>
        <v>0</v>
      </c>
      <c r="AJ19" s="1392">
        <f t="shared" si="4"/>
        <v>0</v>
      </c>
      <c r="AK19" s="1392">
        <f t="shared" si="4"/>
        <v>0</v>
      </c>
      <c r="AL19" s="1392">
        <f t="shared" si="4"/>
        <v>0</v>
      </c>
      <c r="AM19" s="1392">
        <f t="shared" si="4"/>
        <v>22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31</v>
      </c>
      <c r="BD19" s="1392">
        <f t="shared" si="4"/>
        <v>174</v>
      </c>
      <c r="BE19" s="1392">
        <f t="shared" si="4"/>
        <v>0</v>
      </c>
      <c r="BF19" s="1392">
        <f t="shared" si="4"/>
        <v>0</v>
      </c>
      <c r="BG19" s="1392">
        <f>IF(ISNUMBER(Datos!K19/Datos!J19),Datos!K19/Datos!J19," - ")</f>
        <v>1.0666666666666667</v>
      </c>
      <c r="BH19" s="1396">
        <f>IF(ISNUMBER(((Datos!L19/Datos!K19)*11)/factor_trimestre),((Datos!L19/Datos!K19)*11)/factor_trimestre," - ")</f>
        <v>6.651315789473685</v>
      </c>
      <c r="BI19" s="1392">
        <f>SUBTOTAL(9,BI15:BI18)</f>
        <v>0.22569444444444445</v>
      </c>
      <c r="BJ19" s="1392">
        <f>SUBTOTAL(9,BJ15:BJ18)</f>
        <v>0</v>
      </c>
      <c r="BK19" s="1392">
        <f>SUBTOTAL(9,BK15:BK18)</f>
        <v>0</v>
      </c>
      <c r="BL19" s="1392">
        <f>IF(ISNUMBER((I19-AB19+L19)/(F19)),(I19-AB19+L19)/(F19)," - ")</f>
        <v>-0.45373134328358211</v>
      </c>
      <c r="BM19" s="1398">
        <f>IF(ISNUMBER((Datos!P19-Datos!Q19)/(Datos!R19-Datos!P19+Datos!Q19)),(Datos!P19-Datos!Q19)/(Datos!R19-Datos!P19+Datos!Q19)," - ")</f>
        <v>-0.12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673</v>
      </c>
      <c r="G20" s="1367">
        <f t="shared" si="6"/>
        <v>690</v>
      </c>
      <c r="H20" s="1369">
        <f t="shared" si="6"/>
        <v>0</v>
      </c>
      <c r="I20" s="1367">
        <f t="shared" si="6"/>
        <v>0</v>
      </c>
      <c r="J20" s="1369">
        <f t="shared" si="6"/>
        <v>0</v>
      </c>
      <c r="K20" s="1369">
        <f t="shared" si="6"/>
        <v>0</v>
      </c>
      <c r="L20" s="1386">
        <f t="shared" si="6"/>
        <v>0</v>
      </c>
      <c r="M20" s="1386">
        <f t="shared" si="6"/>
        <v>0</v>
      </c>
      <c r="N20" s="1386">
        <f t="shared" si="6"/>
        <v>42</v>
      </c>
      <c r="O20" s="1386">
        <f t="shared" si="6"/>
        <v>0</v>
      </c>
      <c r="P20" s="1386">
        <f t="shared" si="6"/>
        <v>0</v>
      </c>
      <c r="Q20" s="1369">
        <f t="shared" si="6"/>
        <v>76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304</v>
      </c>
      <c r="AC20" s="1368">
        <f t="shared" si="7"/>
        <v>108</v>
      </c>
      <c r="AD20" s="1368">
        <f t="shared" si="7"/>
        <v>0</v>
      </c>
      <c r="AE20" s="1368">
        <f t="shared" si="7"/>
        <v>0</v>
      </c>
      <c r="AF20" s="1371">
        <f t="shared" si="7"/>
        <v>678</v>
      </c>
      <c r="AG20" s="1371">
        <f t="shared" si="7"/>
        <v>0</v>
      </c>
      <c r="AH20" s="1371">
        <f t="shared" si="7"/>
        <v>101</v>
      </c>
      <c r="AI20" s="1371">
        <f t="shared" si="7"/>
        <v>0</v>
      </c>
      <c r="AJ20" s="1368">
        <f t="shared" si="7"/>
        <v>0</v>
      </c>
      <c r="AK20" s="1371">
        <f t="shared" si="7"/>
        <v>0</v>
      </c>
      <c r="AL20" s="1371">
        <f t="shared" si="7"/>
        <v>0</v>
      </c>
      <c r="AM20" s="1371">
        <f t="shared" si="7"/>
        <v>1090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104</v>
      </c>
      <c r="BD20" s="1367">
        <f t="shared" si="7"/>
        <v>251</v>
      </c>
      <c r="BE20" s="1367">
        <f t="shared" si="7"/>
        <v>0</v>
      </c>
      <c r="BF20" s="1373">
        <f t="shared" si="7"/>
        <v>0</v>
      </c>
      <c r="BG20" s="1404">
        <f>IF(ISNUMBER(Datos!K20/Datos!J20),Datos!K20/Datos!J20," - ")</f>
        <v>0.9668989547038328</v>
      </c>
      <c r="BH20" s="1404">
        <f>IF(ISNUMBER(((Datos!L20/Datos!K20)*11)/factor_trimestre),((Datos!L20/Datos!K20)*11)/factor_trimestre," - ")</f>
        <v>6.686486486486487</v>
      </c>
      <c r="BI20" s="1362">
        <f>IF(ISNUMBER(Datos!J20/Datos!I20),Datos!J20/Datos!I20," - ")</f>
        <v>0.47359735973597361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-0.45170876671619614</v>
      </c>
      <c r="BM20" s="1387">
        <f>IF(ISNUMBER((Datos!P20-Datos!Q20+R20)/(Datos!R20-Datos!P20+Datos!Q20-R20)),(Datos!P20-Datos!Q20+R20)/(Datos!R20-Datos!P20+Datos!Q20-R20)," - ")</f>
        <v>-2.8520499108734401E-2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276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385.09262954948042</v>
      </c>
      <c r="G22" s="1299">
        <f>IF(ISNUMBER(STDEV(G8:G19)),STDEV(G8:G19),"-")</f>
        <v>365.31356394199219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159.43901655491982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32.413988749715244</v>
      </c>
      <c r="BD22" s="1298"/>
      <c r="BE22" s="1298">
        <f>IF(ISNUMBER(STDEV(BE8:BE19)),STDEV(BE8:BE19),"-")</f>
        <v>0</v>
      </c>
      <c r="BF22" s="1303">
        <f>IF(ISNUMBER(STDEV(BF8:BF19)),STDEV(BF8:BF19),"-")</f>
        <v>0</v>
      </c>
      <c r="BG22" s="1360">
        <f>IF(ISNUMBER(STDEV(BG8:BG19)),STDEV(BG8:BG19),"-")</f>
        <v>0.56901481544362009</v>
      </c>
      <c r="BH22" s="1361">
        <f>IF(ISNUMBER(STDEV(BH8:BH19)),STDEV(BH8:BH19),"-")</f>
        <v>1.6679230644084553</v>
      </c>
      <c r="BI22" s="1224">
        <f>IF(ISNUMBER(STDEV(BI8:BI19)),STDEV(BI8:BI19),"-")</f>
        <v>7.2112539026444988E-2</v>
      </c>
      <c r="BJ22" s="1219" t="str">
        <f>IF(ISNUMBER(BL22/BM22),BL22/BM22," - ")</f>
        <v xml:space="preserve"> - </v>
      </c>
      <c r="BK22" s="1320"/>
      <c r="BL22" s="1306">
        <f>IF(ISNUMBER(STDEV(BL8:BL19)),STDEV(BL8:BL19),"-")</f>
        <v>0.32083650967270216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d+mvY+xOhruB9lg1LF6IKaXCNm5DoZNEPy0zGQu8S5QAFrKXliHEAJLVUmN19pTL5aX233oBZjfG0eJvXr7yBg==" saltValue="EWPHpU1ejziWVnBx7keEc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BARBASTRO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97</v>
      </c>
      <c r="AA12" s="331" t="str">
        <f>IF(ISNUMBER(IF(J_V="SI",Datos!L12,Datos!L12+Datos!AB12)-IF(Monitorios="SI",Datos!CD12,0)),
                          IF(J_V="SI",Datos!L12,Datos!L12+Datos!AB12)-IF(Monitorios="SI",Datos!CD12,0),
                          " - ")</f>
        <v xml:space="preserve"> - </v>
      </c>
      <c r="AB12" s="333"/>
      <c r="AC12" s="333"/>
      <c r="AD12" s="483"/>
      <c r="AE12" s="483">
        <f>IF(ISNUMBER(Datos!R12),Datos!R12," - ")</f>
        <v>1068</v>
      </c>
      <c r="AF12" s="228" t="str">
        <f>IF(ISNUMBER(Datos!BV12),Datos!BV12," - ")</f>
        <v xml:space="preserve"> - </v>
      </c>
      <c r="AG12" s="224" t="str">
        <f>IF(ISNUMBER(Datos!DV12),Datos!DV12," - ")</f>
        <v xml:space="preserve"> - </v>
      </c>
      <c r="AH12" s="297"/>
      <c r="AI12" s="226"/>
      <c r="AJ12" s="224">
        <f>IF(ISNUMBER(Datos!M12),Datos!M12," - ")</f>
        <v>73</v>
      </c>
      <c r="AK12" s="228">
        <f>IF(ISNUMBER(Datos!N12),Datos!N12," - ")</f>
        <v>77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6.6666666666666679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-2.6435733819507749E-2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3</v>
      </c>
      <c r="G13" s="895">
        <f>SUBTOTAL(9,G8:G12)</f>
        <v>3</v>
      </c>
      <c r="H13" s="905"/>
      <c r="I13" s="895">
        <f t="shared" ref="I13:N13" si="0">SUBTOTAL(9,I8:I12)</f>
        <v>0</v>
      </c>
      <c r="J13" s="864">
        <f t="shared" si="0"/>
        <v>0</v>
      </c>
      <c r="K13" s="905">
        <f t="shared" si="0"/>
        <v>0</v>
      </c>
      <c r="L13" s="905">
        <f t="shared" si="0"/>
        <v>0</v>
      </c>
      <c r="M13" s="905">
        <f t="shared" si="0"/>
        <v>0</v>
      </c>
      <c r="N13" s="905">
        <f t="shared" si="0"/>
        <v>68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97</v>
      </c>
      <c r="AA13" s="897">
        <f t="shared" si="2"/>
        <v>4</v>
      </c>
      <c r="AB13" s="897">
        <f t="shared" si="2"/>
        <v>0</v>
      </c>
      <c r="AC13" s="897">
        <f t="shared" si="2"/>
        <v>0</v>
      </c>
      <c r="AD13" s="897">
        <f t="shared" si="2"/>
        <v>0</v>
      </c>
      <c r="AE13" s="897">
        <f t="shared" si="2"/>
        <v>1068</v>
      </c>
      <c r="AF13" s="905">
        <f t="shared" si="2"/>
        <v>0</v>
      </c>
      <c r="AG13" s="905">
        <f t="shared" si="2"/>
        <v>0</v>
      </c>
      <c r="AH13" s="905">
        <f t="shared" si="2"/>
        <v>0</v>
      </c>
      <c r="AI13" s="905">
        <f t="shared" si="2"/>
        <v>0</v>
      </c>
      <c r="AJ13" s="905">
        <f t="shared" si="2"/>
        <v>73</v>
      </c>
      <c r="AK13" s="905">
        <f t="shared" si="2"/>
        <v>77</v>
      </c>
      <c r="AL13" s="905">
        <f t="shared" si="2"/>
        <v>0</v>
      </c>
      <c r="AM13" s="905">
        <f t="shared" si="2"/>
        <v>0</v>
      </c>
      <c r="AN13" s="905">
        <f t="shared" si="2"/>
        <v>0</v>
      </c>
      <c r="AO13" s="901">
        <f>IF(ISNUMBER(((NºAsuntos!I13/NºAsuntos!G13)*11)/factor_trimestre),((NºAsuntos!I13/NºAsuntos!G13)*11)/factor_trimestre," - ")</f>
        <v>6.7070707070707067</v>
      </c>
      <c r="AP13" s="907" t="str">
        <f>IF(ISNUMBER(Datos!CI13/Datos!CJ13),Datos!CI13/Datos!CJ13," - ")</f>
        <v xml:space="preserve"> - </v>
      </c>
      <c r="AQ13" s="923">
        <f t="shared" ref="AQ13:AV13" si="3">SUBTOTAL(9,AQ9:AQ12)</f>
        <v>0</v>
      </c>
      <c r="AR13" s="923">
        <f t="shared" si="3"/>
        <v>-2.6435733819507749E-2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670</v>
      </c>
      <c r="G17" s="224">
        <f>IF(ISNUMBER(IF(D_I="SI",Datos!I17,Datos!I17+Datos!AC17)),IF(D_I="SI",Datos!I17,Datos!I17+Datos!AC17)," - ")</f>
        <v>665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288</v>
      </c>
      <c r="Z17" s="617">
        <f>IF(ISNUMBER(Datos!Q17),Datos!Q17," - ")</f>
        <v>11</v>
      </c>
      <c r="AA17" s="331">
        <f>IF(ISNUMBER(IF(D_I="SI",Datos!L17,Datos!L17+Datos!AF17)),IF(D_I="SI",Datos!L17,Datos!L17+Datos!AF17)," - ")</f>
        <v>658</v>
      </c>
      <c r="AB17" s="333"/>
      <c r="AC17" s="333"/>
      <c r="AD17" s="483"/>
      <c r="AE17" s="483">
        <f>IF(ISNUMBER(Datos!R17),Datos!R17," - ")</f>
        <v>22</v>
      </c>
      <c r="AF17" s="228" t="str">
        <f>IF(ISNUMBER(Datos!BV17),Datos!BV17," - ")</f>
        <v xml:space="preserve"> - </v>
      </c>
      <c r="AG17" s="224"/>
      <c r="AH17" s="297"/>
      <c r="AI17" s="226"/>
      <c r="AJ17" s="224">
        <f>IF(ISNUMBER(Datos!M17),Datos!M17," - ")</f>
        <v>29</v>
      </c>
      <c r="AK17" s="228">
        <f>IF(ISNUMBER(Datos!N17),Datos!N17," - ")</f>
        <v>159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6.8541666666666679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v>
      </c>
      <c r="Z18" s="617">
        <f>IF(ISNUMBER(Datos!Q18),Datos!Q18," - ")</f>
        <v>0</v>
      </c>
      <c r="AA18" s="331">
        <f>IF(ISNUMBER(Datos!L18),Datos!L18,"-")</f>
        <v>16</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2</v>
      </c>
      <c r="AK18" s="228">
        <f>IF(ISNUMBER(Datos!N18),Datos!N18," - ")</f>
        <v>15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670</v>
      </c>
      <c r="G19" s="895">
        <f>SUBTOTAL(9,G15:G18)</f>
        <v>687</v>
      </c>
      <c r="H19" s="927">
        <f>SUBTOTAL(9,H15:H18)</f>
        <v>0</v>
      </c>
      <c r="I19" s="908">
        <f>SUBTOTAL(9,I15:I18)</f>
        <v>0</v>
      </c>
      <c r="J19" s="864">
        <f>SUBTOTAL(9,J14:J18)</f>
        <v>0</v>
      </c>
      <c r="K19" s="927">
        <f t="shared" ref="K19:S19" si="4">SUBTOTAL(9,K15:K18)</f>
        <v>0</v>
      </c>
      <c r="L19" s="927">
        <f t="shared" si="4"/>
        <v>0</v>
      </c>
      <c r="M19" s="927">
        <f t="shared" si="4"/>
        <v>0</v>
      </c>
      <c r="N19" s="927">
        <f t="shared" si="4"/>
        <v>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304</v>
      </c>
      <c r="Z19" s="927">
        <f t="shared" si="5"/>
        <v>11</v>
      </c>
      <c r="AA19" s="927">
        <f t="shared" si="5"/>
        <v>674</v>
      </c>
      <c r="AB19" s="927">
        <f t="shared" si="5"/>
        <v>0</v>
      </c>
      <c r="AC19" s="927">
        <f t="shared" si="5"/>
        <v>0</v>
      </c>
      <c r="AD19" s="927">
        <f t="shared" si="5"/>
        <v>0</v>
      </c>
      <c r="AE19" s="927">
        <f t="shared" si="5"/>
        <v>22</v>
      </c>
      <c r="AF19" s="927">
        <f t="shared" si="5"/>
        <v>0</v>
      </c>
      <c r="AG19" s="927">
        <f t="shared" si="5"/>
        <v>0</v>
      </c>
      <c r="AH19" s="927">
        <f t="shared" si="5"/>
        <v>0</v>
      </c>
      <c r="AI19" s="927">
        <f t="shared" si="5"/>
        <v>0</v>
      </c>
      <c r="AJ19" s="927">
        <f t="shared" si="5"/>
        <v>31</v>
      </c>
      <c r="AK19" s="927">
        <f t="shared" si="5"/>
        <v>174</v>
      </c>
      <c r="AL19" s="927">
        <f t="shared" si="5"/>
        <v>0</v>
      </c>
      <c r="AM19" s="927">
        <f t="shared" si="5"/>
        <v>0</v>
      </c>
      <c r="AN19" s="927">
        <f t="shared" si="5"/>
        <v>0</v>
      </c>
      <c r="AO19" s="929">
        <f>IF(ISNUMBER(((NºAsuntos!I19/NºAsuntos!G19)*11)/factor_trimestre),((NºAsuntos!I19/NºAsuntos!G19)*11)/factor_trimestre," - ")</f>
        <v>6.651315789473685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673</v>
      </c>
      <c r="G20" s="817">
        <f t="shared" si="7"/>
        <v>690</v>
      </c>
      <c r="H20" s="818">
        <f t="shared" si="7"/>
        <v>0</v>
      </c>
      <c r="I20" s="817">
        <f t="shared" si="7"/>
        <v>0</v>
      </c>
      <c r="J20" s="819">
        <f t="shared" si="7"/>
        <v>0</v>
      </c>
      <c r="K20" s="817">
        <f t="shared" si="7"/>
        <v>0</v>
      </c>
      <c r="L20" s="820">
        <f t="shared" si="7"/>
        <v>0</v>
      </c>
      <c r="M20" s="817">
        <f t="shared" si="7"/>
        <v>0</v>
      </c>
      <c r="N20" s="818">
        <f t="shared" si="7"/>
        <v>76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304</v>
      </c>
      <c r="Z20" s="824">
        <f t="shared" si="8"/>
        <v>108</v>
      </c>
      <c r="AA20" s="825">
        <f t="shared" si="8"/>
        <v>678</v>
      </c>
      <c r="AB20" s="825">
        <f t="shared" si="8"/>
        <v>0</v>
      </c>
      <c r="AC20" s="825">
        <f t="shared" si="8"/>
        <v>0</v>
      </c>
      <c r="AD20" s="826">
        <f t="shared" si="8"/>
        <v>0</v>
      </c>
      <c r="AE20" s="826">
        <f t="shared" si="8"/>
        <v>1090</v>
      </c>
      <c r="AF20" s="827">
        <f t="shared" si="8"/>
        <v>0</v>
      </c>
      <c r="AG20" s="828">
        <f t="shared" si="8"/>
        <v>0</v>
      </c>
      <c r="AH20" s="829">
        <f t="shared" si="8"/>
        <v>0</v>
      </c>
      <c r="AI20" s="827">
        <f t="shared" si="8"/>
        <v>0</v>
      </c>
      <c r="AJ20" s="817">
        <f t="shared" si="8"/>
        <v>104</v>
      </c>
      <c r="AK20" s="817">
        <f t="shared" si="8"/>
        <v>251</v>
      </c>
      <c r="AL20" s="817">
        <f t="shared" si="8"/>
        <v>0</v>
      </c>
      <c r="AM20" s="830">
        <f t="shared" si="8"/>
        <v>0</v>
      </c>
      <c r="AN20" s="820">
        <f>IF(ISNUMBER(Datos!K20/Datos!J20),Datos!K20/Datos!J20," - ")</f>
        <v>0.9668989547038328</v>
      </c>
      <c r="AO20" s="820">
        <f>IF(ISNUMBER(FIND("06",Criterios!A8,1)),(IF(ISNUMBER(((Datos!R20/Datos!Q20)*11)/factor_trimestre),((Datos!R20/Datos!Q20)*11)/factor_trimestre," - ")),(IF(ISNUMBER(((Datos!L20/Datos!K20)*11)/factor_trimestre),((Datos!L20/Datos!K20)*11)/factor_trimestre," - ")))</f>
        <v>6.686486486486487</v>
      </c>
      <c r="AP20" s="831" t="str">
        <f>IF(ISNUMBER(Datos!CI20/Datos!CJ20),Datos!CI20/Datos!CJ20," - ")</f>
        <v xml:space="preserve"> - </v>
      </c>
      <c r="AQ20" s="831">
        <f>IF(OR(ISNUMBER(FIND("01",Criterios!A8,1)),ISNUMBER(FIND("02",Criterios!A8,1)),ISNUMBER(FIND("03",Criterios!A8,1)),ISNUMBER(FIND("04",Criterios!A8,1))),(J20-Y20+K20)/(F20-K20),(I20-Y20+K20)/(F20-K20))</f>
        <v>-0.45170876671619614</v>
      </c>
      <c r="AR20" s="831">
        <f>IF(ISNUMBER((Datos!P20-Datos!Q20+O20)/(Datos!R20-Datos!P20+Datos!Q20-O20)),(Datos!P20-Datos!Q20+O20)/(Datos!R20-Datos!P20+Datos!Q20-O20)," - ")</f>
        <v>-2.8520499108734401E-2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276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385.09262954948042</v>
      </c>
      <c r="G22" s="551">
        <f>IF(ISNUMBER(STDEV(G8:G19)),STDEV(G8:G19),"-")</f>
        <v>365.31356394199219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32.413988749715244</v>
      </c>
      <c r="AK22" s="251"/>
      <c r="AL22" s="251">
        <f>IF(ISNUMBER(STDEV(AL8:AL19)),STDEV(AL8:AL19),"-")</f>
        <v>0</v>
      </c>
      <c r="AM22" s="253">
        <f>IF(ISNUMBER(STDEV(AM8:AM19)),STDEV(AM8:AM19),"-")</f>
        <v>0</v>
      </c>
      <c r="AN22" s="538">
        <f>IF(ISNUMBER(STDEV(AN8:AN19)),STDEV(AN8:AN19),"-")</f>
        <v>0</v>
      </c>
      <c r="AO22" s="539">
        <f>IF(ISNUMBER(STDEV(AO8:AO19)),STDEV(AO8:AO19),"-")</f>
        <v>1.6654795714301887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vQx/+Gwe0ZHyUXXavjJ5Gw9uB47+6Skj930WP8h/VdA9zVAUjVC9cbTfqV49piW+dIb5/KJzUOZhs0RwkZ8LJw==" saltValue="7TlOmQbSwLN3GAHcU029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fAOwlbXRv5KiwH7cqEkhBdkuiQ9HGQTudQCZyHtzQ15PGRDrpQ66uzSUkn3PKMqFA2Pg8KNjl/In/GvDALHNyA==" saltValue="uXOyIvPHt3UXblpzRSkT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SjbKjbrnjvGa6Gxf3iGRSeqT9QLjTYm0eUr01GO0GkfCKcZ1T1JSr/wuQiWewJtlnKoH6IJj4hQcaoCEevJcg==" saltValue="5RJRGeLXJKV0NIXxcmxvU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ARAGON</v>
      </c>
    </row>
    <row r="2" spans="1:78" ht="16.5" customHeight="1">
      <c r="C2" s="1263" t="str">
        <f>Criterios!A10 &amp;"  "&amp;Criterios!B10 &amp; "  " &amp; IF(NOT(ISBLANK(Criterios!A11)),Criterios!A11 &amp;"  "&amp;Criterios!B11,"")</f>
        <v>Provincias  HUESCA  Resumenes por Partidos Judiciales  BARBASTRO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0.24579124579124578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0.17380065665527936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lIqUxvIJi6dut0TrSs+NklMYbeehAjwqVeUHeSN+ji2HFwdW7/OsU07n3BTcc6xIw2TzzQ+Rd91AWjaQnzUP6w==" saltValue="3DJz+OP551QkGilvZ0BOy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g4SlcjucflvAcd2fb3dIOofZjypEVATUkPAgdewyWnuxFQGHHayLF56vx99xXchHO8n/2XigV38auI48UwXBgA==" saltValue="obj/hXN/xnAIa8ySDwpI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BARBASTRO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v>
      </c>
      <c r="D10" s="403">
        <f>IF(ISNUMBER(C10/Datos!BH10),C10/Datos!BH10," - ")</f>
        <v>3</v>
      </c>
      <c r="E10" s="402">
        <f>IF(ISNUMBER(Datos!J10),Datos!J10," - ")</f>
        <v>1</v>
      </c>
      <c r="F10" s="403">
        <f>IF(ISNUMBER(E10/B10),E10/B10," - ")</f>
        <v>1</v>
      </c>
      <c r="G10" s="402">
        <f>IF(ISNUMBER(Datos!K10),Datos!K10," - ")</f>
        <v>0</v>
      </c>
      <c r="H10" s="403">
        <f>IF(ISNUMBER(G10/B10),G10/B10," - ")</f>
        <v>0</v>
      </c>
      <c r="I10" s="402">
        <f>IF(ISNUMBER(Datos!L10),Datos!L10," - ")</f>
        <v>4</v>
      </c>
      <c r="J10" s="403">
        <f>IF(ISNUMBER(I10/B10),I10/B10," - ")</f>
        <v>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627</v>
      </c>
      <c r="D12" s="403">
        <f>IF(ISNUMBER(C12/Datos!BH12),C12/Datos!BH12," - ")</f>
        <v>313.5</v>
      </c>
      <c r="E12" s="402">
        <f>IF(ISNUMBER(IF(J_V="SI",Datos!J12,Datos!J12+Datos!Z12)),IF(J_V="SI",Datos!J12,Datos!J12+Datos!Z12)," - ")</f>
        <v>330</v>
      </c>
      <c r="F12" s="403">
        <f>IF(ISNUMBER(E12/B12),E12/B12," - ")</f>
        <v>165</v>
      </c>
      <c r="G12" s="402">
        <f>IF(ISNUMBER(IF(J_V="SI",Datos!K12,Datos!K12+Datos!AA12)),IF(J_V="SI",Datos!K12,Datos!K12+Datos!AA12)," - ")</f>
        <v>297</v>
      </c>
      <c r="H12" s="403">
        <f>IF(ISNUMBER(G12/B12),G12/B12," - ")</f>
        <v>148.5</v>
      </c>
      <c r="I12" s="402">
        <f>IF(ISNUMBER(IF(J_V="SI",Datos!L12,Datos!L12+Datos!AB12)),IF(J_V="SI",Datos!L12,Datos!L12+Datos!AB12)," - ")</f>
        <v>660</v>
      </c>
      <c r="J12" s="403">
        <f>IF(ISNUMBER(I12/B12),I12/B12," - ")</f>
        <v>330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630</v>
      </c>
      <c r="D13" s="847" t="str">
        <f>IF(ISNUMBER(C13/Datos!BI13),C13/Datos!BI13," - ")</f>
        <v xml:space="preserve"> - </v>
      </c>
      <c r="E13" s="846">
        <f>SUBTOTAL(9,E8:E12)</f>
        <v>331</v>
      </c>
      <c r="F13" s="847">
        <f>IF(ISNUMBER(E13/B13),E13/B13," - ")</f>
        <v>165.5</v>
      </c>
      <c r="G13" s="846">
        <f>SUBTOTAL(9,G8:G12)</f>
        <v>297</v>
      </c>
      <c r="H13" s="847">
        <f>IF(ISNUMBER(G13/B13),G13/B13," - ")</f>
        <v>148.5</v>
      </c>
      <c r="I13" s="846">
        <f>SUBTOTAL(9,I8:I12)</f>
        <v>664</v>
      </c>
      <c r="J13" s="847">
        <f>IF(ISNUMBER(I13/B13),I13/B13," - ")</f>
        <v>332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665</v>
      </c>
      <c r="D17" s="403">
        <f>IF(ISNUMBER(C17/Datos!BH17),C17/Datos!BH17," - ")</f>
        <v>332.5</v>
      </c>
      <c r="E17" s="402">
        <f>IF(ISNUMBER(IF(D_I="SI",Datos!J17,Datos!J17+Datos!AD17)),IF(D_I="SI",Datos!J17,Datos!J17+Datos!AD17)," - ")</f>
        <v>276</v>
      </c>
      <c r="F17" s="403">
        <f>IF(ISNUMBER(E17/B17),E17/B17," - ")</f>
        <v>138</v>
      </c>
      <c r="G17" s="402">
        <f>IF(ISNUMBER(IF(D_I="SI",Datos!K17,Datos!K17+Datos!AE17)),IF(D_I="SI",Datos!K17,Datos!K17+Datos!AE17)," - ")</f>
        <v>288</v>
      </c>
      <c r="H17" s="403">
        <f>IF(ISNUMBER(G17/B17),G17/B17," - ")</f>
        <v>144</v>
      </c>
      <c r="I17" s="402">
        <f>IF(ISNUMBER(IF(D_I="SI",Datos!L17,Datos!L17+Datos!AF17)),IF(D_I="SI",Datos!L17,Datos!L17+Datos!AF17)," - ")</f>
        <v>658</v>
      </c>
      <c r="J17" s="403">
        <f>IF(ISNUMBER(I17/B17),I17/B17," - ")</f>
        <v>329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22</v>
      </c>
      <c r="D18" s="403">
        <f>IF(ISNUMBER(C18/Datos!BH18),C18/Datos!BH18," - ")</f>
        <v>22</v>
      </c>
      <c r="E18" s="402">
        <f>IF(ISNUMBER(IF(D_I="SI",Datos!J18,Datos!J18+Datos!AD18)),IF(D_I="SI",Datos!J18,Datos!J18+Datos!AD18)," - ")</f>
        <v>9</v>
      </c>
      <c r="F18" s="403">
        <f>IF(ISNUMBER(E18/B18),E18/B18," - ")</f>
        <v>9</v>
      </c>
      <c r="G18" s="402">
        <f>IF(ISNUMBER(IF(D_I="SI",Datos!K18,Datos!K18+Datos!AE18)),IF(D_I="SI",Datos!K18,Datos!K18+Datos!AE18)," - ")</f>
        <v>16</v>
      </c>
      <c r="H18" s="403">
        <f>IF(ISNUMBER(G18/B18),G18/B18," - ")</f>
        <v>16</v>
      </c>
      <c r="I18" s="402">
        <f>IF(ISNUMBER(IF(D_I="SI",Datos!L18,Datos!L18+Datos!AF18)),IF(D_I="SI",Datos!L18,Datos!L18+Datos!AF18)," - ")</f>
        <v>16</v>
      </c>
      <c r="J18" s="403">
        <f>IF(ISNUMBER(I18/B18),I18/B18," - ")</f>
        <v>16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687</v>
      </c>
      <c r="D19" s="847" t="str">
        <f>IF(ISNUMBER(C19/Datos!BI19),C19/Datos!BI19," - ")</f>
        <v xml:space="preserve"> - </v>
      </c>
      <c r="E19" s="846">
        <f>SUBTOTAL(9,E14:E18)</f>
        <v>285</v>
      </c>
      <c r="F19" s="847">
        <f>IF(ISNUMBER(E19/B19),E19/B19," - ")</f>
        <v>142.5</v>
      </c>
      <c r="G19" s="846">
        <f>SUBTOTAL(9,G14:G18)</f>
        <v>304</v>
      </c>
      <c r="H19" s="847">
        <f>IF(ISNUMBER(G19/B19),G19/B19," - ")</f>
        <v>152</v>
      </c>
      <c r="I19" s="846">
        <f>SUBTOTAL(9,I14:I18)</f>
        <v>674</v>
      </c>
      <c r="J19" s="847">
        <f>IF(ISNUMBER(I19/B19),I19/B19," - ")</f>
        <v>337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1317</v>
      </c>
      <c r="D20" s="792" t="str">
        <f>IF(ISNUMBER(C20/Datos!BI20),C20/Datos!BI20," - ")</f>
        <v xml:space="preserve"> - </v>
      </c>
      <c r="E20" s="791">
        <f>SUBTOTAL(9,E9:E19)</f>
        <v>616</v>
      </c>
      <c r="F20" s="792">
        <f>IF(ISNUMBER(E20/B20),E20/B20," - ")</f>
        <v>308</v>
      </c>
      <c r="G20" s="791">
        <f>SUBTOTAL(9,G9:G19)</f>
        <v>601</v>
      </c>
      <c r="H20" s="792">
        <f>IF(ISNUMBER(G20/B20),G20/B20," - ")</f>
        <v>300.5</v>
      </c>
      <c r="I20" s="791">
        <f>SUBTOTAL(9,I9:I19)</f>
        <v>1338</v>
      </c>
      <c r="J20" s="792">
        <f>IF(ISNUMBER(I20/B20),I20/B20," - ")</f>
        <v>669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fZQpNl1wRLx3qeU5LG3jDEo7FWLIKnRgM5AzQpCVh17+XDSIkk8vULKYhTOcmh226GFHMWdr3OJ4rRooJGOiAw==" saltValue="OaDlSrIKXqsrRrvQYDGdE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BARBASTRO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v>
      </c>
      <c r="G10" s="681">
        <f>IF(ISNUMBER(Datos!I10),Datos!I10," - ")</f>
        <v>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1068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73</v>
      </c>
      <c r="AM12" s="687">
        <f>IF(ISNUMBER(Datos!N12+DatosP!N17),Datos!N12+DatosP!N17," - ")</f>
        <v>77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6.6666666666666679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-2.6435733819507749E-2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3</v>
      </c>
      <c r="G13" s="933">
        <f t="shared" si="0"/>
        <v>3</v>
      </c>
      <c r="H13" s="933">
        <f t="shared" si="0"/>
        <v>0</v>
      </c>
      <c r="I13" s="935">
        <f t="shared" si="0"/>
        <v>0</v>
      </c>
      <c r="J13" s="934">
        <f t="shared" si="0"/>
        <v>0</v>
      </c>
      <c r="K13" s="934">
        <f t="shared" si="0"/>
        <v>0</v>
      </c>
      <c r="L13" s="936">
        <f t="shared" si="0"/>
        <v>0</v>
      </c>
      <c r="M13" s="936">
        <f t="shared" si="0"/>
        <v>0</v>
      </c>
      <c r="N13" s="934">
        <f t="shared" si="0"/>
        <v>68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97</v>
      </c>
      <c r="AE13" s="934">
        <f t="shared" si="1"/>
        <v>0</v>
      </c>
      <c r="AF13" s="934">
        <f t="shared" si="1"/>
        <v>4</v>
      </c>
      <c r="AG13" s="934">
        <f t="shared" si="1"/>
        <v>0</v>
      </c>
      <c r="AH13" s="934">
        <f t="shared" si="1"/>
        <v>1068</v>
      </c>
      <c r="AI13" s="934">
        <f t="shared" si="1"/>
        <v>0</v>
      </c>
      <c r="AJ13" s="934">
        <f t="shared" si="1"/>
        <v>0</v>
      </c>
      <c r="AK13" s="934">
        <f t="shared" si="1"/>
        <v>0</v>
      </c>
      <c r="AL13" s="934">
        <f t="shared" si="1"/>
        <v>73</v>
      </c>
      <c r="AM13" s="934">
        <f t="shared" si="1"/>
        <v>77</v>
      </c>
      <c r="AN13" s="934">
        <f t="shared" si="1"/>
        <v>0</v>
      </c>
      <c r="AO13" s="934">
        <f t="shared" si="1"/>
        <v>0</v>
      </c>
      <c r="AP13" s="939">
        <f>IF(ISNUMBER(((Datos!L13/Datos!K13)*11)/factor_trimestre),((Datos!L13/Datos!K13)*11)/factor_trimestre," - ")</f>
        <v>6.7290836653386457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-2.6435733819507749E-2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6.651315789473685</v>
      </c>
      <c r="AQ19" s="939">
        <f>IF(ISNUMBER(((Datos!M19/Datos!L19)*11)/factor_trimestre),((Datos!M19/Datos!L19)*11)/factor_trimestre," - ")</f>
        <v>0.13798219584569732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-0.12</v>
      </c>
      <c r="AW19" s="941">
        <f>IF(ISNUMBER((Datos!Q19-Datos!R19)/(Datos!S19-Datos!Q19+Datos!R19)),(Datos!Q19-Datos!R19)/(Datos!S19-Datos!Q19+Datos!R19)," - ")</f>
        <v>-2.5345622119815669E-2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3</v>
      </c>
      <c r="G20" s="946">
        <f t="shared" si="4"/>
        <v>3</v>
      </c>
      <c r="H20" s="946">
        <f t="shared" si="4"/>
        <v>0</v>
      </c>
      <c r="I20" s="947">
        <f t="shared" si="4"/>
        <v>0</v>
      </c>
      <c r="J20" s="948">
        <f t="shared" si="4"/>
        <v>0</v>
      </c>
      <c r="K20" s="948">
        <f t="shared" si="4"/>
        <v>0</v>
      </c>
      <c r="L20" s="948">
        <f t="shared" si="4"/>
        <v>0</v>
      </c>
      <c r="M20" s="948">
        <f t="shared" si="4"/>
        <v>0</v>
      </c>
      <c r="N20" s="947">
        <f t="shared" si="4"/>
        <v>68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97</v>
      </c>
      <c r="AE20" s="952">
        <f t="shared" si="5"/>
        <v>0</v>
      </c>
      <c r="AF20" s="953">
        <f t="shared" si="5"/>
        <v>4</v>
      </c>
      <c r="AG20" s="953">
        <f t="shared" si="5"/>
        <v>0</v>
      </c>
      <c r="AH20" s="953">
        <f t="shared" si="5"/>
        <v>1068</v>
      </c>
      <c r="AI20" s="953">
        <f t="shared" si="5"/>
        <v>0</v>
      </c>
      <c r="AJ20" s="954">
        <f t="shared" si="5"/>
        <v>0</v>
      </c>
      <c r="AK20" s="954">
        <f t="shared" si="5"/>
        <v>0</v>
      </c>
      <c r="AL20" s="946">
        <f t="shared" si="5"/>
        <v>73</v>
      </c>
      <c r="AM20" s="946">
        <f t="shared" si="5"/>
        <v>77</v>
      </c>
      <c r="AN20" s="946">
        <f t="shared" si="5"/>
        <v>0</v>
      </c>
      <c r="AO20" s="946">
        <f t="shared" si="5"/>
        <v>0</v>
      </c>
      <c r="AP20" s="946">
        <f>IF(ISNUMBER(((Datos!L20/Datos!K20)*11)/factor_trimestre),((Datos!L20/Datos!K20)*11)/factor_trimestre," - ")</f>
        <v>6.686486486486487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-2.8520499108734401E-2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1.7320508075688772</v>
      </c>
      <c r="G22" s="734">
        <f>IF(ISNUMBER(STDEV(G8:G19)),STDEV(G8:G19),"-")</f>
        <v>1.7320508075688772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42.146569650842679</v>
      </c>
      <c r="AM22" s="733"/>
      <c r="AN22" s="733">
        <f>IF(ISNUMBER(STDEV(AN8:AN19)),STDEV(AN8:AN19),"-")</f>
        <v>0</v>
      </c>
      <c r="AO22" s="739">
        <f>IF(ISNUMBER(STDEV(AO8:AO19)),STDEV(AO8:AO19),"-")</f>
        <v>0</v>
      </c>
      <c r="AP22" s="776">
        <f>IF(ISNUMBER(STDEV(AP8:AP19)),STDEV(AP8:AP19),"-")</f>
        <v>4.1189346661403559E-2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JzZLKO/7hvjKmnwttI53MXlOFTGkDXVDdcsuPShZEbzkKQGOM9J+P05/eyFLwaFOV+av8KC+bhGRGxOzWYI9lw==" saltValue="DUU58RYX6RVa+nKP3X5H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ARAGON</v>
      </c>
    </row>
    <row r="2" spans="1:168" ht="16.5" customHeight="1">
      <c r="C2" s="487" t="str">
        <f>Criterios!A10 &amp;"  "&amp;Criterios!B10 &amp; "  " &amp; IF(NOT(ISBLANK(Criterios!A11)),Criterios!A11 &amp;"  "&amp;Criterios!B11,"")</f>
        <v>Provincias  HUESCA  Resumenes por Partidos Judiciales  BARBASTRO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107.14390165549199</v>
      </c>
      <c r="CF9" s="228">
        <f ca="1">AVERAGEIFS($AB:$AB,$BW:$BW,BW9,$BX:$BX,BX9)</f>
        <v>107.14390165549199</v>
      </c>
      <c r="CG9" s="1191">
        <v>0.7</v>
      </c>
      <c r="CH9" s="1191">
        <f ca="1">AVERAGEIF($BW:$BW,$BW9,$AC:$AC)</f>
        <v>32.4</v>
      </c>
      <c r="CI9" s="228">
        <f ca="1">AVERAGEIFS($AC:$AC,$BW:$BW,$BW9,$BX:$BX,$BX9)</f>
        <v>32.4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226</v>
      </c>
      <c r="CR9" s="228">
        <f ca="1">AVERAGEIFS($AF:$AF,$BW:$BW,BW9,$BX:$BX,BX9)</f>
        <v>226</v>
      </c>
      <c r="CS9" s="1191">
        <v>1.3</v>
      </c>
      <c r="CT9" s="1191">
        <v>1.5</v>
      </c>
      <c r="CU9" s="1191">
        <f ca="1">AVERAGEIF($BW:$BW,$BW9,$AH:$AH)</f>
        <v>43.285714285714285</v>
      </c>
      <c r="CV9" s="228">
        <f ca="1">AVERAGEIFS($AH:$AH,$BW:$BW,$BW9,$BX:$BX,$BX9)</f>
        <v>43.285714285714285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327</v>
      </c>
      <c r="DH9" s="1218">
        <f ca="1">AVERAGEIFS($AM:$AM,$BW:$BW,$BW9,$BX:$BX,$BX9)</f>
        <v>327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3.8255642339040605</v>
      </c>
      <c r="ER9" s="1218">
        <f ca="1">AVERAGEIFS($BH:$BH,$BW:$BW,$BW9,$BX:$BX,$BX9)</f>
        <v>3.8255642339040605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4</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107.14390165549199</v>
      </c>
      <c r="CF10" s="228">
        <f ca="1">AVERAGEIFS($AB:$AB,$BW:$BW,BW10,$BX:$BX,BX10)</f>
        <v>107.14390165549199</v>
      </c>
      <c r="CG10" s="1191">
        <v>0.7</v>
      </c>
      <c r="CH10" s="1191">
        <f ca="1">AVERAGEIF($BW:$BW,BW10,$AC:$AC)</f>
        <v>32.4</v>
      </c>
      <c r="CI10" s="228">
        <f ca="1">AVERAGEIFS($AC:$AC,$BW:$BW,BW10,$BX:$BX,BX10)</f>
        <v>32.4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226</v>
      </c>
      <c r="CR10" s="228">
        <f ca="1">AVERAGEIFS($AF:$AF,$BW:$BW,BW10,$BX:$BX,BX10)</f>
        <v>226</v>
      </c>
      <c r="CS10" s="1191">
        <v>1.3</v>
      </c>
      <c r="CT10" s="1191">
        <v>1.5</v>
      </c>
      <c r="CU10" s="1191">
        <f ca="1">AVERAGEIF($BW:$BW,$BW10,$AH:$AH)</f>
        <v>43.285714285714285</v>
      </c>
      <c r="CV10" s="228">
        <f ca="1">AVERAGEIFS($AH:$AH,$BW:$BW,$BW10,$BX:$BX,$BX10)</f>
        <v>43.285714285714285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327</v>
      </c>
      <c r="DH10" s="1218">
        <f ca="1">AVERAGEIFS($AM:$AM,$BW:$BW,$BW10,$BX:$BX,$BX10)</f>
        <v>327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3.8255642339040605</v>
      </c>
      <c r="ER10" s="1218">
        <f ca="1">AVERAGEIFS($BH:$BH,$BW:$BW,$BW10,$BX:$BX,$BX10)</f>
        <v>3.8255642339040605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107.14390165549199</v>
      </c>
      <c r="CF11" s="228">
        <f ca="1">AVERAGEIFS($AB:$AB,$BW:$BW,BW11,$BX:$BX,BX11)</f>
        <v>107.14390165549199</v>
      </c>
      <c r="CG11" s="1191">
        <v>0.7</v>
      </c>
      <c r="CH11" s="1191">
        <f ca="1">AVERAGEIF($BW:$BW,BW11,$AC:$AC)</f>
        <v>32.4</v>
      </c>
      <c r="CI11" s="228">
        <f ca="1">AVERAGEIFS($AC:$AC,$BW:$BW,BW11,$BX:$BX,BX11)</f>
        <v>32.4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226</v>
      </c>
      <c r="CR11" s="228">
        <f ca="1">AVERAGEIFS($AF:$AF,$BW:$BW,BW11,$BX:$BX,BX11)</f>
        <v>226</v>
      </c>
      <c r="CS11" s="1191">
        <v>1.3</v>
      </c>
      <c r="CT11" s="1191">
        <v>1.5</v>
      </c>
      <c r="CU11" s="1191">
        <f ca="1">AVERAGEIF($BW:$BW,$BW11,$AH:$AH)</f>
        <v>43.285714285714285</v>
      </c>
      <c r="CV11" s="228">
        <f ca="1">AVERAGEIFS($AH:$AH,$BW:$BW,$BW11,$BX:$BX,$BX11)</f>
        <v>43.285714285714285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327</v>
      </c>
      <c r="DH11" s="1218">
        <f ca="1">AVERAGEIFS($AM:$AM,$BW:$BW,$BW11,$BX:$BX,$BX11)</f>
        <v>327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3.8255642339040605</v>
      </c>
      <c r="ER11" s="1218">
        <f ca="1">AVERAGEIFS($BH:$BH,$BW:$BW,$BW11,$BX:$BX,$BX11)</f>
        <v>3.8255642339040605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42</v>
      </c>
      <c r="O12" s="333"/>
      <c r="P12" s="333"/>
      <c r="Q12" s="225">
        <f>IF(ISNUMBER(Datos!P12),Datos!P12,0)</f>
        <v>68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101</v>
      </c>
      <c r="AI12" s="224" t="str">
        <f>IF(ISNUMBER(Datos!CD12),Datos!CD12,"-")</f>
        <v>-</v>
      </c>
      <c r="AJ12" s="1214" t="str">
        <f>IF(ISNUMBER(Datos!EN12),Datos!EN12," - ")</f>
        <v xml:space="preserve"> - </v>
      </c>
      <c r="AK12" s="333"/>
      <c r="AL12" s="478"/>
      <c r="AM12" s="1214">
        <f>IF(ISNUMBER(Datos!R12),Datos!R12," - ")</f>
        <v>1068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73</v>
      </c>
      <c r="BD12" s="228">
        <f>IF(ISNUMBER(Datos!N12),Datos!N12," - ")</f>
        <v>77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v>
      </c>
      <c r="BH12" s="1214">
        <f>IF(ISNUMBER(((IF(J_V="SI",Datos!L12/Datos!K12,(Datos!L12+Datos!AB12)/(Datos!K12+Datos!AA12)))*11)/factor_trimestre),((IF(J_V="SI",Datos!L12/Datos!K12,(Datos!L12+Datos!AB12)/(Datos!K12+Datos!AA12)))*11)/factor_trimestre," - ")</f>
        <v>6.6666666666666679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-2.6435733819507749E-2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107.14390165549199</v>
      </c>
      <c r="CF12" s="228">
        <f ca="1">AVERAGEIFS($AB:$AB,$BW:$BW,BW12,$BX:$BX,BX12)</f>
        <v>107.14390165549199</v>
      </c>
      <c r="CG12" s="1191">
        <v>0.7</v>
      </c>
      <c r="CH12" s="1191">
        <f ca="1">AVERAGEIF($BW:$BW,BW12,$AC:$AC)</f>
        <v>32.4</v>
      </c>
      <c r="CI12" s="228">
        <f ca="1">AVERAGEIFS($AC:$AC,$BW:$BW,BW12,$BX:$BX,BX12)</f>
        <v>32.4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226</v>
      </c>
      <c r="CR12" s="228">
        <f ca="1">AVERAGEIFS($AF:$AF,$BW:$BW,BW12,$BX:$BX,BX12)</f>
        <v>226</v>
      </c>
      <c r="CS12" s="1191">
        <v>1.3</v>
      </c>
      <c r="CT12" s="1191">
        <v>1.5</v>
      </c>
      <c r="CU12" s="1191">
        <f ca="1">AVERAGEIF($BW:$BW,$BW12,$AH:$AH)</f>
        <v>43.285714285714285</v>
      </c>
      <c r="CV12" s="228">
        <f ca="1">AVERAGEIFS($AH:$AH,$BW:$BW,$BW12,$BX:$BX,$BX12)</f>
        <v>43.285714285714285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327</v>
      </c>
      <c r="DH12" s="1218">
        <f ca="1">AVERAGEIFS($AM:$AM,$BW:$BW,$BW12,$BX:$BX,$BX12)</f>
        <v>327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3.8255642339040605</v>
      </c>
      <c r="ER12" s="1218">
        <f ca="1">AVERAGEIFS($BH:$BH,$BW:$BW,$BW12,$BX:$BX,$BX12)</f>
        <v>3.8255642339040605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3</v>
      </c>
      <c r="G13" s="895">
        <f t="shared" si="1"/>
        <v>3</v>
      </c>
      <c r="H13" s="896">
        <f t="shared" si="1"/>
        <v>0</v>
      </c>
      <c r="I13" s="895">
        <f t="shared" si="1"/>
        <v>0</v>
      </c>
      <c r="J13" s="864">
        <f t="shared" si="1"/>
        <v>0</v>
      </c>
      <c r="K13" s="864">
        <f t="shared" si="1"/>
        <v>0</v>
      </c>
      <c r="L13" s="896">
        <f t="shared" si="1"/>
        <v>0</v>
      </c>
      <c r="M13" s="896">
        <f t="shared" si="1"/>
        <v>0</v>
      </c>
      <c r="N13" s="896">
        <f t="shared" si="1"/>
        <v>42</v>
      </c>
      <c r="O13" s="897">
        <f t="shared" si="1"/>
        <v>0</v>
      </c>
      <c r="P13" s="897">
        <f t="shared" si="1"/>
        <v>0</v>
      </c>
      <c r="Q13" s="896">
        <f t="shared" si="1"/>
        <v>68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97</v>
      </c>
      <c r="AD13" s="896">
        <f t="shared" si="2"/>
        <v>0</v>
      </c>
      <c r="AE13" s="896">
        <f t="shared" si="2"/>
        <v>0</v>
      </c>
      <c r="AF13" s="896">
        <f t="shared" si="2"/>
        <v>4</v>
      </c>
      <c r="AG13" s="896">
        <f t="shared" si="2"/>
        <v>0</v>
      </c>
      <c r="AH13" s="896">
        <f t="shared" si="2"/>
        <v>101</v>
      </c>
      <c r="AI13" s="896">
        <f t="shared" si="2"/>
        <v>0</v>
      </c>
      <c r="AJ13" s="896">
        <f t="shared" si="2"/>
        <v>0</v>
      </c>
      <c r="AK13" s="896">
        <f t="shared" si="2"/>
        <v>0</v>
      </c>
      <c r="AL13" s="896">
        <f t="shared" si="2"/>
        <v>0</v>
      </c>
      <c r="AM13" s="896">
        <f t="shared" si="2"/>
        <v>1068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73</v>
      </c>
      <c r="BD13" s="896">
        <f t="shared" si="2"/>
        <v>77</v>
      </c>
      <c r="BE13" s="896">
        <f t="shared" si="2"/>
        <v>0</v>
      </c>
      <c r="BF13" s="896">
        <f t="shared" si="2"/>
        <v>0</v>
      </c>
      <c r="BG13" s="896">
        <f>IF(ISNUMBER(Datos!K13/Datos!J13),Datos!K13/Datos!J13," - ")</f>
        <v>0.86851211072664358</v>
      </c>
      <c r="BH13" s="900">
        <f>IF(ISNUMBER(((Datos!L13/Datos!K13)*11)/factor_trimestre),((Datos!L13/Datos!K13)*11)/factor_trimestre," - ")</f>
        <v>6.7290836653386457</v>
      </c>
      <c r="BI13" s="896">
        <f>IF(ISNUMBER('Resol  Asuntos'!D13/NºAsuntos!G13),'Resol  Asuntos'!D13/NºAsuntos!G13," - ")</f>
        <v>0.24579124579124578</v>
      </c>
      <c r="BJ13" s="896" t="str">
        <f>IF(ISNUMBER(Datos!CI13/Datos!CJ13),Datos!CI13/Datos!CJ13," - ")</f>
        <v xml:space="preserve"> - </v>
      </c>
      <c r="BK13" s="896">
        <f>SUBTOTAL(9,BK8:BK12)</f>
        <v>0</v>
      </c>
      <c r="BL13" s="896">
        <f>IF(ISNUMBER((I13-AB13+L13)/(F13)),(I13-AB13+L13)/(F13)," - ")</f>
        <v>0</v>
      </c>
      <c r="BM13" s="901">
        <f>SUBTOTAL(9,BM9:BM12)</f>
        <v>-2.6435733819507749E-2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107.14390165549199</v>
      </c>
      <c r="CF15" s="228">
        <f ca="1">AVERAGEIFS($AB:$AB,$BW:$BW,BW15,$BX:$BX,BX15)</f>
        <v>107.14390165549199</v>
      </c>
      <c r="CG15" s="1191">
        <v>0.7</v>
      </c>
      <c r="CH15" s="1191">
        <f ca="1">AVERAGEIF($BW:$BW,BW15,$AC:$AC)</f>
        <v>32.4</v>
      </c>
      <c r="CI15" s="228">
        <f ca="1">AVERAGEIFS($AC:$AC,$BW:$BW,BW15,$BX:$BX,BX15)</f>
        <v>32.4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226</v>
      </c>
      <c r="CR15" s="228">
        <f ca="1">AVERAGEIFS($AF:$AF,$BW:$BW,BW15,$BX:$BX,BX15)</f>
        <v>226</v>
      </c>
      <c r="CS15" s="1191">
        <v>1.3</v>
      </c>
      <c r="CT15" s="1191">
        <v>1.5</v>
      </c>
      <c r="CU15" s="1191">
        <f ca="1">AVERAGEIF($BW:$BW,$BW15,$AH:$AH)</f>
        <v>43.285714285714285</v>
      </c>
      <c r="CV15" s="228">
        <f ca="1">AVERAGEIFS($AH:$AH,$BW:$BW,$BW15,$BX:$BX,$BX15)</f>
        <v>43.285714285714285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327</v>
      </c>
      <c r="DH15" s="1218">
        <f ca="1">AVERAGEIFS($AM:$AM,$BW:$BW,$BW15,$BX:$BX,$BX15)</f>
        <v>327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3.8255642339040605</v>
      </c>
      <c r="ER15" s="1218">
        <f ca="1">AVERAGEIFS($BH:$BH,$BW:$BW,$BW15,$BX:$BX,$BX15)</f>
        <v>3.8255642339040605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107.14390165549199</v>
      </c>
      <c r="CF16" s="1218">
        <f ca="1">AVERAGEIFS($AB:$AB,$BW:$BW,BW16,$BX:$BX,BX16)</f>
        <v>107.14390165549199</v>
      </c>
      <c r="CG16" s="1191">
        <v>0.7</v>
      </c>
      <c r="CH16" s="1191">
        <f ca="1">AVERAGEIF($BW:$BW,BW16,$AC:$AC)</f>
        <v>32.4</v>
      </c>
      <c r="CI16" s="1218">
        <f ca="1">AVERAGEIFS($AC:$AC,$BW:$BW,BW16,$BX:$BX,BX16)</f>
        <v>32.4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226</v>
      </c>
      <c r="CR16" s="1218">
        <f ca="1">AVERAGEIFS($AF:$AF,$BW:$BW,BW16,$BX:$BX,BX16)</f>
        <v>226</v>
      </c>
      <c r="CS16" s="1191">
        <v>1.3</v>
      </c>
      <c r="CT16" s="1191">
        <v>1.5</v>
      </c>
      <c r="CU16" s="1191">
        <f ca="1">AVERAGEIF($BW:$BW,$BW16,$AH:$AH)</f>
        <v>43.285714285714285</v>
      </c>
      <c r="CV16" s="1218">
        <f ca="1">AVERAGEIFS($AH:$AH,$BW:$BW,$BW16,$BX:$BX,$BX16)</f>
        <v>43.285714285714285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327</v>
      </c>
      <c r="DH16" s="1218">
        <f ca="1">AVERAGEIFS($AM:$AM,$BW:$BW,$BW16,$BX:$BX,$BX16)</f>
        <v>327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3.8255642339040605</v>
      </c>
      <c r="ER16" s="1218">
        <f ca="1">AVERAGEIFS($BH:$BH,$BW:$BW,$BW16,$BX:$BX,$BX16)</f>
        <v>3.8255642339040605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670</v>
      </c>
      <c r="G17" s="596">
        <f>IF(ISNUMBER(IF(D_I="SI",Datos!I17,Datos!I17+Datos!AC17)),IF(D_I="SI",Datos!I17,Datos!I17+Datos!AC17)," - ")</f>
        <v>665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288</v>
      </c>
      <c r="AC17" s="224">
        <f>IF(ISNUMBER(Datos!Q17),Datos!Q17," - ")</f>
        <v>11</v>
      </c>
      <c r="AD17" s="224"/>
      <c r="AE17" s="224"/>
      <c r="AF17" s="224">
        <f>IF(ISNUMBER(IF(D_I="SI",Datos!L17,Datos!L17+Datos!AF17)),IF(D_I="SI",Datos!L17,Datos!L17+Datos!AF17)," - ")</f>
        <v>658</v>
      </c>
      <c r="AG17" s="333"/>
      <c r="AH17" s="224"/>
      <c r="AI17" s="224"/>
      <c r="AJ17" s="1214"/>
      <c r="AK17" s="333"/>
      <c r="AL17" s="478"/>
      <c r="AM17" s="1214">
        <f>IF(ISNUMBER(Datos!R17),Datos!R17," - ")</f>
        <v>22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29</v>
      </c>
      <c r="BD17" s="228">
        <f>IF(ISNUMBER(Datos!N17),Datos!N17," - ")</f>
        <v>159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1.0434782608695652</v>
      </c>
      <c r="BH17" s="1214">
        <f>IF(ISNUMBER(((IF(D_I="SI",Datos!L17/Datos!K17,(Datos!L17+Datos!AF17)/(Datos!K17+Datos!AE17)))*11)/factor_trimestre),((IF(D_I="SI",Datos!L17/Datos!K17,(Datos!L17+Datos!AF17)/(Datos!K17+Datos!AE17)))*11)/factor_trimestre," - ")</f>
        <v>6.8541666666666679</v>
      </c>
      <c r="BI17" s="242">
        <f>IF(ISNUMBER('Resol  Asuntos'!D17/NºAsuntos!G17),'Resol  Asuntos'!D17/NºAsuntos!G17," - ")</f>
        <v>0.10069444444444445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107.14390165549199</v>
      </c>
      <c r="CF17" s="228">
        <f ca="1">AVERAGEIFS($AB:$AB,$BW:$BW,BW17,$BX:$BX,BX17)</f>
        <v>107.14390165549199</v>
      </c>
      <c r="CG17" s="1191">
        <v>0.7</v>
      </c>
      <c r="CH17" s="1191">
        <f ca="1">AVERAGEIF($BW:$BW,BW17,$AC:$AC)</f>
        <v>32.4</v>
      </c>
      <c r="CI17" s="228">
        <f ca="1">AVERAGEIFS($AC:$AC,$BW:$BW,BW17,$BX:$BX,BX17)</f>
        <v>32.4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226</v>
      </c>
      <c r="CR17" s="228">
        <f ca="1">AVERAGEIFS($AF:$AF,$BW:$BW,BW17,$BX:$BX,BX17)</f>
        <v>226</v>
      </c>
      <c r="CS17" s="1191">
        <v>1.3</v>
      </c>
      <c r="CT17" s="1191">
        <v>1.5</v>
      </c>
      <c r="CU17" s="1191">
        <f ca="1">AVERAGEIF($BW:$BW,$BW17,$AH:$AH)</f>
        <v>43.285714285714285</v>
      </c>
      <c r="CV17" s="228">
        <f ca="1">AVERAGEIFS($AH:$AH,$BW:$BW,$BW17,$BX:$BX,$BX17)</f>
        <v>43.285714285714285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327</v>
      </c>
      <c r="DH17" s="1218">
        <f ca="1">AVERAGEIFS($AM:$AM,$BW:$BW,$BW17,$BX:$BX,$BX17)</f>
        <v>327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3.8255642339040605</v>
      </c>
      <c r="ER17" s="1218">
        <f ca="1">AVERAGEIFS($BH:$BH,$BW:$BW,$BW17,$BX:$BX,$BX17)</f>
        <v>3.8255642339040605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v>
      </c>
      <c r="AC18" s="224">
        <f>IF(ISNUMBER(Datos!Q18),Datos!Q18," - ")</f>
        <v>0</v>
      </c>
      <c r="AD18" s="224"/>
      <c r="AE18" s="224"/>
      <c r="AF18" s="224">
        <f>IF(ISNUMBER(Datos!L18),Datos!L18,"-")</f>
        <v>16</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15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1.7777777777777777</v>
      </c>
      <c r="BH18" s="1214">
        <f>IF(ISNUMBER(((IF(D_I="SI",Datos!L18/Datos!K18,(Datos!L18+Datos!AF18)/(Datos!K18+Datos!AE18)))*11)/factor_trimestre),((IF(D_I="SI",Datos!L18/Datos!K18,(Datos!L18+Datos!AF18)/(Datos!K18+Datos!AE18)))*11)/factor_trimestre," - ")</f>
        <v>3</v>
      </c>
      <c r="BI18" s="242">
        <f>IF(ISNUMBER('Resol  Asuntos'!D18/NºAsuntos!G18),'Resol  Asuntos'!D18/NºAsuntos!G18," - ")</f>
        <v>0.125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107.14390165549199</v>
      </c>
      <c r="CF18" s="228">
        <f ca="1">AVERAGEIFS($AB:$AB,$BW:$BW,BW18,$BX:$BX,BX18)</f>
        <v>107.14390165549199</v>
      </c>
      <c r="CG18" s="1191">
        <v>0.7</v>
      </c>
      <c r="CH18" s="1191">
        <f ca="1">AVERAGEIF($BW:$BW,BW18,$AC:$AC)</f>
        <v>32.4</v>
      </c>
      <c r="CI18" s="228">
        <f ca="1">AVERAGEIFS($AC:$AC,$BW:$BW,BW18,$BX:$BX,BX18)</f>
        <v>32.4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226</v>
      </c>
      <c r="CR18" s="228">
        <f ca="1">AVERAGEIFS($AF:$AF,$BW:$BW,BW18,$BX:$BX,BX18)</f>
        <v>226</v>
      </c>
      <c r="CS18" s="1191">
        <v>1.3</v>
      </c>
      <c r="CT18" s="1191">
        <v>1.5</v>
      </c>
      <c r="CU18" s="1191">
        <f ca="1">AVERAGEIF($BW:$BW,$BW18,$AH:$AH)</f>
        <v>43.285714285714285</v>
      </c>
      <c r="CV18" s="228">
        <f ca="1">AVERAGEIFS($AH:$AH,$BW:$BW,$BW18,$BX:$BX,$BX18)</f>
        <v>43.285714285714285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327</v>
      </c>
      <c r="DH18" s="1218">
        <f ca="1">AVERAGEIFS($AM:$AM,$BW:$BW,$BW18,$BX:$BX,$BX18)</f>
        <v>327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3.8255642339040605</v>
      </c>
      <c r="ER18" s="1218">
        <f ca="1">AVERAGEIFS($BH:$BH,$BW:$BW,$BW18,$BX:$BX,$BX18)</f>
        <v>3.8255642339040605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670</v>
      </c>
      <c r="G19" s="895">
        <f>SUBTOTAL(9,G15:G18)</f>
        <v>687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304</v>
      </c>
      <c r="AC19" s="896">
        <f t="shared" si="5"/>
        <v>11</v>
      </c>
      <c r="AD19" s="896">
        <f t="shared" si="5"/>
        <v>0</v>
      </c>
      <c r="AE19" s="896">
        <f t="shared" si="5"/>
        <v>0</v>
      </c>
      <c r="AF19" s="896">
        <f t="shared" si="5"/>
        <v>674</v>
      </c>
      <c r="AG19" s="896">
        <f t="shared" si="5"/>
        <v>0</v>
      </c>
      <c r="AH19" s="896">
        <f t="shared" si="5"/>
        <v>0</v>
      </c>
      <c r="AI19" s="896">
        <f t="shared" si="5"/>
        <v>0</v>
      </c>
      <c r="AJ19" s="896">
        <f t="shared" si="5"/>
        <v>0</v>
      </c>
      <c r="AK19" s="896">
        <f t="shared" si="5"/>
        <v>0</v>
      </c>
      <c r="AL19" s="896">
        <f t="shared" si="5"/>
        <v>0</v>
      </c>
      <c r="AM19" s="896">
        <f t="shared" si="5"/>
        <v>22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31</v>
      </c>
      <c r="BD19" s="896">
        <f t="shared" si="5"/>
        <v>174</v>
      </c>
      <c r="BE19" s="896">
        <f t="shared" si="5"/>
        <v>0</v>
      </c>
      <c r="BF19" s="896">
        <f t="shared" si="5"/>
        <v>0</v>
      </c>
      <c r="BG19" s="896">
        <f>IF(ISNUMBER(Datos!K19/Datos!J19),Datos!K19/Datos!J19," - ")</f>
        <v>1.0666666666666667</v>
      </c>
      <c r="BH19" s="900">
        <f>IF(ISNUMBER(((Datos!L19/Datos!K19)*11)/factor_trimestre),((Datos!L19/Datos!K19)*11)/factor_trimestre," - ")</f>
        <v>6.651315789473685</v>
      </c>
      <c r="BI19" s="896">
        <f>SUBTOTAL(9,BI15:BI18)</f>
        <v>0.22569444444444445</v>
      </c>
      <c r="BJ19" s="896">
        <f>SUBTOTAL(9,BJ15:BJ18)</f>
        <v>0</v>
      </c>
      <c r="BK19" s="896">
        <f>SUBTOTAL(9,BK15:BK18)</f>
        <v>0</v>
      </c>
      <c r="BL19" s="896">
        <f>IF(ISNUMBER((I19-AB19+L19)/(F19)),(I19-AB19+L19)/(F19)," - ")</f>
        <v>-0.45373134328358211</v>
      </c>
      <c r="BM19" s="902">
        <f>IF(ISNUMBER((Datos!P19-Datos!Q19)/(Datos!R19-Datos!P19+Datos!Q19)),(Datos!P19-Datos!Q19)/(Datos!R19-Datos!P19+Datos!Q19)," - ")</f>
        <v>-0.12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673</v>
      </c>
      <c r="G20" s="817">
        <f t="shared" si="7"/>
        <v>690</v>
      </c>
      <c r="H20" s="819">
        <f t="shared" si="7"/>
        <v>0</v>
      </c>
      <c r="I20" s="817">
        <f t="shared" si="7"/>
        <v>0</v>
      </c>
      <c r="J20" s="819">
        <f t="shared" si="7"/>
        <v>0</v>
      </c>
      <c r="K20" s="819">
        <f t="shared" si="7"/>
        <v>0</v>
      </c>
      <c r="L20" s="878">
        <f t="shared" si="7"/>
        <v>0</v>
      </c>
      <c r="M20" s="878">
        <f t="shared" si="7"/>
        <v>0</v>
      </c>
      <c r="N20" s="878">
        <f t="shared" si="7"/>
        <v>42</v>
      </c>
      <c r="O20" s="878">
        <f t="shared" si="7"/>
        <v>0</v>
      </c>
      <c r="P20" s="878">
        <f t="shared" si="7"/>
        <v>0</v>
      </c>
      <c r="Q20" s="819">
        <f t="shared" si="7"/>
        <v>76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304</v>
      </c>
      <c r="AC20" s="818">
        <f t="shared" si="8"/>
        <v>108</v>
      </c>
      <c r="AD20" s="818">
        <f t="shared" si="8"/>
        <v>0</v>
      </c>
      <c r="AE20" s="818">
        <f t="shared" si="8"/>
        <v>0</v>
      </c>
      <c r="AF20" s="825">
        <f t="shared" si="8"/>
        <v>678</v>
      </c>
      <c r="AG20" s="825">
        <f t="shared" si="8"/>
        <v>0</v>
      </c>
      <c r="AH20" s="825">
        <f t="shared" si="8"/>
        <v>101</v>
      </c>
      <c r="AI20" s="825">
        <f t="shared" si="8"/>
        <v>0</v>
      </c>
      <c r="AJ20" s="818">
        <f t="shared" si="8"/>
        <v>0</v>
      </c>
      <c r="AK20" s="825">
        <f t="shared" si="8"/>
        <v>0</v>
      </c>
      <c r="AL20" s="825">
        <f t="shared" si="8"/>
        <v>0</v>
      </c>
      <c r="AM20" s="825">
        <f t="shared" si="8"/>
        <v>1090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104</v>
      </c>
      <c r="BD20" s="817">
        <f t="shared" si="8"/>
        <v>251</v>
      </c>
      <c r="BE20" s="817">
        <f t="shared" si="8"/>
        <v>0</v>
      </c>
      <c r="BF20" s="827">
        <f t="shared" si="8"/>
        <v>0</v>
      </c>
      <c r="BG20" s="912">
        <f>IF(ISNUMBER(Datos!K20/Datos!J20),Datos!K20/Datos!J20," - ")</f>
        <v>0.9668989547038328</v>
      </c>
      <c r="BH20" s="912">
        <f>IF(ISNUMBER(((Datos!L20/Datos!K20)*11)/factor_trimestre),((Datos!L20/Datos!K20)*11)/factor_trimestre," - ")</f>
        <v>6.686486486486487</v>
      </c>
      <c r="BI20" s="810">
        <f>IF(ISNUMBER(Datos!J20/Datos!I20),Datos!J20/Datos!I20," - ")</f>
        <v>0.47359735973597361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-0.45170876671619614</v>
      </c>
      <c r="BM20" s="886">
        <f>IF(ISNUMBER((Datos!P20-Datos!Q20+R20)/(Datos!R20-Datos!P20+Datos!Q20-R20)),(Datos!P20-Datos!Q20+R20)/(Datos!R20-Datos!P20+Datos!Q20-R20)," - ")</f>
        <v>-2.8520499108734401E-2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276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385.09262954948042</v>
      </c>
      <c r="G22" s="551">
        <f>IF(ISNUMBER(STDEV(G8:G19)),STDEV(G8:G19),"-")</f>
        <v>365.31356394199219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159.43901655491982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32.413988749715244</v>
      </c>
      <c r="BD22" s="550"/>
      <c r="BE22" s="550">
        <f>IF(ISNUMBER(STDEV(BE8:BE19)),STDEV(BE8:BE19),"-")</f>
        <v>0</v>
      </c>
      <c r="BF22" s="555">
        <f>IF(ISNUMBER(STDEV(BF8:BF19)),STDEV(BF8:BF19),"-")</f>
        <v>0</v>
      </c>
      <c r="BG22" s="772">
        <f>IF(ISNUMBER(STDEV(BG8:BG19)),STDEV(BG8:BG19),"-")</f>
        <v>0.56901481544362009</v>
      </c>
      <c r="BH22" s="773">
        <f>IF(ISNUMBER(STDEV(BH8:BH19)),STDEV(BH8:BH19),"-")</f>
        <v>1.6679230644084553</v>
      </c>
      <c r="BI22" s="248">
        <f>IF(ISNUMBER(STDEV(BI8:BI19)),STDEV(BI8:BI19),"-")</f>
        <v>7.2112539026444988E-2</v>
      </c>
      <c r="BJ22" s="1415" t="str">
        <f>IF(ISNUMBER(BL22/BM22),BL22/BM22," - ")</f>
        <v xml:space="preserve"> - </v>
      </c>
      <c r="BK22" s="574"/>
      <c r="BL22" s="558">
        <f>IF(ISNUMBER(STDEV(BL8:BL19)),STDEV(BL8:BL19),"-")</f>
        <v>0.32083650967270216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BvmAfx7dLCHdTE1I5CbsllNi5DDD0tSsZX0VXjxBDzJCzg07PQVlVz74V2R6jRt9gFkDmj7kJMLroEUVUkexcg==" saltValue="g5VtNugV2hZ1bkRtkkpR8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ARAGON</v>
      </c>
    </row>
    <row r="2" spans="1:146" ht="16.5" customHeight="1">
      <c r="C2" s="487" t="str">
        <f>Criterios!A10 &amp;"  "&amp;Criterios!B10 &amp; "  " &amp; IF(NOT(ISBLANK(Criterios!A11)),Criterios!A11 &amp;"  "&amp;Criterios!B11,"")</f>
        <v>Provincias  HUESCA  Resumenes por Partidos Judiciales  BARBASTRO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0.24579124579124578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0.17380065665527936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7dRxThEF9Oo+U0CLVwwOvhTXEtfLBp8ssmxW/bpX8abr4bnCCKH2WocJCYaAtj8q5C5W1uwNW2Uc2nDxrPNzUg==" saltValue="2XzVNpsAJNReWoLjmgUe2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ARAGON</v>
      </c>
      <c r="B4" s="1461" t="str">
        <f>IF(Criterios!B10=0,"",Criterios!B10)</f>
        <v>HUESCA</v>
      </c>
      <c r="C4" s="1461" t="str">
        <f>IF(Criterios!B11=0,"",Criterios!B11)</f>
        <v>BARBASTRO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xaTWuqXOOgL/nkgF55Z27dRJ3eYTENZ+L7skHA1mrECJGEU481tPE7CReCosSUIOWeD7vlR0Thdrko4YDwmxw==" saltValue="kO+FlrcO2Yws9NcuAeTQF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ARAGON</v>
      </c>
      <c r="C2" s="374"/>
      <c r="E2" s="374"/>
      <c r="F2" s="374"/>
      <c r="G2" s="374"/>
      <c r="H2" s="374"/>
    </row>
    <row r="3" spans="1:16" ht="39">
      <c r="A3" s="414" t="s">
        <v>219</v>
      </c>
      <c r="B3" s="390" t="str">
        <f>Criterios!A10 &amp;"  "&amp;Criterios!B10</f>
        <v>Provincias  HUESCA</v>
      </c>
      <c r="C3" s="414"/>
      <c r="F3" s="374"/>
      <c r="G3" s="374"/>
      <c r="H3" s="374"/>
    </row>
    <row r="4" spans="1:16" ht="13.5" thickBot="1">
      <c r="A4" s="374"/>
      <c r="B4" s="390" t="str">
        <f>Criterios!A11 &amp;"  "&amp;Criterios!B11</f>
        <v>Resumenes por Partidos Judiciales  BARBASTRO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XqZlnBU492XA4CDxb2UjYcXilghwsSSHd0MVa7vWc8XMTrfZLAmSgNyxc6Tz6lzXHJoad68z+Gb2Ki9MfUJng==" saltValue="TP+WaEe4D7Hd/uQhipwuy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BARBASTRO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73</v>
      </c>
      <c r="E12" s="403">
        <f t="shared" si="0"/>
        <v>36.5</v>
      </c>
      <c r="F12" s="402">
        <f>IF(ISNUMBER(Datos!N12),Datos!N12," - ")</f>
        <v>77</v>
      </c>
      <c r="G12" s="403">
        <f t="shared" si="1"/>
        <v>38.5</v>
      </c>
      <c r="H12" s="402">
        <f>IF(ISNUMBER(Datos!O12),Datos!O12," - ")</f>
        <v>93</v>
      </c>
      <c r="I12" s="403">
        <f t="shared" si="2"/>
        <v>46.5</v>
      </c>
      <c r="BZ12" s="1181">
        <f>Datos!EZ12</f>
        <v>0</v>
      </c>
    </row>
    <row r="13" spans="1:78" ht="14.25" thickTop="1" thickBot="1">
      <c r="A13" s="845" t="str">
        <f>Datos!A13</f>
        <v>TOTAL</v>
      </c>
      <c r="B13" s="846">
        <f>Datos!AP13</f>
        <v>2</v>
      </c>
      <c r="C13" s="848">
        <f>Datos!AR13</f>
        <v>2</v>
      </c>
      <c r="D13" s="846">
        <f>SUBTOTAL(9,D9:D12)</f>
        <v>73</v>
      </c>
      <c r="E13" s="847">
        <f t="shared" si="0"/>
        <v>36.5</v>
      </c>
      <c r="F13" s="846">
        <f>SUBTOTAL(9,F9:F12)</f>
        <v>77</v>
      </c>
      <c r="G13" s="847">
        <f t="shared" si="1"/>
        <v>38.5</v>
      </c>
      <c r="H13" s="846">
        <f>SUBTOTAL(9,H9:H12)</f>
        <v>93</v>
      </c>
      <c r="I13" s="847">
        <f>IF(ISNUMBER(H13/B13),H13/B13," - ")</f>
        <v>46.5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29</v>
      </c>
      <c r="E17" s="403">
        <f t="shared" si="3"/>
        <v>14.5</v>
      </c>
      <c r="F17" s="402">
        <f>IF(ISNUMBER(Datos!N17),Datos!N17," - ")</f>
        <v>159</v>
      </c>
      <c r="G17" s="403">
        <f t="shared" si="4"/>
        <v>79.5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15</v>
      </c>
      <c r="G18" s="403">
        <f>IF(ISNUMBER(F18/B18),F18/B18," - ")</f>
        <v>15</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31</v>
      </c>
      <c r="E19" s="847">
        <f t="shared" si="3"/>
        <v>15.5</v>
      </c>
      <c r="F19" s="846">
        <f>SUBTOTAL(9,F15:F18)</f>
        <v>174</v>
      </c>
      <c r="G19" s="847">
        <f t="shared" si="4"/>
        <v>87</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104</v>
      </c>
      <c r="E20" s="792">
        <f>IF(ISNUMBER(D20/B20),D20/B20," - ")</f>
        <v>52</v>
      </c>
      <c r="F20" s="791">
        <f>SUBTOTAL(9,F8:F19)</f>
        <v>251</v>
      </c>
      <c r="G20" s="792">
        <f>IF(ISNUMBER(F20/B20),F20/B20," - ")</f>
        <v>125.5</v>
      </c>
      <c r="H20" s="791">
        <f>SUBTOTAL(9,H8:H19)</f>
        <v>93</v>
      </c>
      <c r="I20" s="792">
        <f>IF(ISNUMBER(H20/B20),H20/B20," - ")</f>
        <v>46.5</v>
      </c>
    </row>
    <row r="23" spans="1:78">
      <c r="A23" s="390" t="str">
        <f>Criterios!A4</f>
        <v>Fecha Informe: 18 jun. 2026</v>
      </c>
    </row>
    <row r="28" spans="1:78">
      <c r="A28" s="413"/>
    </row>
  </sheetData>
  <sheetProtection algorithmName="SHA-512" hashValue="fFyF7Tv02wWqSIt13RGlLwgiB+j4SyvPQURvCHMa3ZHxRFm9gH3uaVmKFlVdstOQAyoHr3taCCRT0jpW41ugNA==" saltValue="OTsjEDv1ZP43aTKQnL14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BARBASTRO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68</v>
      </c>
      <c r="C12" s="433">
        <f>IF(ISNUMBER(Datos!Q12),Datos!Q12," - ")</f>
        <v>97</v>
      </c>
      <c r="D12" s="407">
        <f>IF(ISNUMBER(Datos!R12),Datos!R12," - ")</f>
        <v>1068</v>
      </c>
    </row>
    <row r="13" spans="1:4" ht="14.25" thickTop="1" thickBot="1">
      <c r="A13" s="845" t="str">
        <f>Datos!A13</f>
        <v>TOTAL</v>
      </c>
      <c r="B13" s="846">
        <f>SUBTOTAL(9,B9:B12)</f>
        <v>68</v>
      </c>
      <c r="C13" s="850">
        <f>SUBTOTAL(9,C9:C12)</f>
        <v>97</v>
      </c>
      <c r="D13" s="848">
        <f>SUBTOTAL(9,D9:D12)</f>
        <v>1068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v>
      </c>
      <c r="C17" s="433">
        <f>IF(ISNUMBER(Datos!Q17),Datos!Q17," - ")</f>
        <v>11</v>
      </c>
      <c r="D17" s="407">
        <f>IF(ISNUMBER(Datos!R17),Datos!R17," - ")</f>
        <v>22</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8</v>
      </c>
      <c r="C19" s="850">
        <f>SUBTOTAL(9,C15:C18)</f>
        <v>11</v>
      </c>
      <c r="D19" s="848">
        <f>SUBTOTAL(9,D15:D18)</f>
        <v>22</v>
      </c>
    </row>
    <row r="20" spans="1:4" ht="16.5" customHeight="1" thickTop="1" thickBot="1">
      <c r="A20" s="790" t="str">
        <f>Datos!A20</f>
        <v>TOTAL JURISDICCIONES</v>
      </c>
      <c r="B20" s="795">
        <f>SUBTOTAL(9,B8:B19)</f>
        <v>76</v>
      </c>
      <c r="C20" s="796">
        <f>SUBTOTAL(9,C8:C19)</f>
        <v>108</v>
      </c>
      <c r="D20" s="797">
        <f>SUBTOTAL(9,D8:D19)</f>
        <v>1090</v>
      </c>
    </row>
    <row r="21" spans="1:4" ht="7.5" customHeight="1"/>
    <row r="22" spans="1:4" ht="6" customHeight="1"/>
    <row r="23" spans="1:4">
      <c r="A23" s="390" t="str">
        <f>Criterios!A4</f>
        <v>Fecha Informe: 18 jun. 2026</v>
      </c>
    </row>
    <row r="28" spans="1:4">
      <c r="A28" s="413"/>
    </row>
  </sheetData>
  <sheetProtection algorithmName="SHA-512" hashValue="BJ5WuDVmrhE8kj3RDcGqZvHA2RTNHfg4rxQeIdnlNQh7gp07xwbXPltuHR+TkD+/Y3OgaVVmsTVP0qeRD7oZdQ==" saltValue="yMpmyDxESa+0pJruozkZ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BARBASTRO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v>
      </c>
      <c r="C10" s="455">
        <f>IF(ISNUMBER((Datos!J10-Datos!T10)/Datos!T10),(Datos!J10-Datos!T10)/Datos!T10," - ")</f>
        <v>-0.5</v>
      </c>
      <c r="D10" s="455">
        <f>IF(ISNUMBER((Datos!K10-Datos!U10)/Datos!U10),(Datos!K10-Datos!U10)/Datos!U10," - ")</f>
        <v>-1</v>
      </c>
      <c r="E10" s="455" t="str">
        <f>IF(ISNUMBER((Datos!L10-Datos!V10)/Datos!V10),(Datos!L10-Datos!V10)/Datos!V10," - ")</f>
        <v xml:space="preserve"> - </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0.20576923076923076</v>
      </c>
      <c r="C12" s="455">
        <f>IF(ISNUMBER(
   IF(J_V="SI",(Datos!J12-Datos!T12)/Datos!T12,(Datos!J12+Datos!Z12-(Datos!T12+Datos!AH12))/(Datos!T12+Datos!AH12))
     ),IF(J_V="SI",(Datos!J12-Datos!T12)/Datos!T12,(Datos!J12+Datos!Z12-(Datos!T12+Datos!AH12))/(Datos!T12+Datos!AH12))," - ")</f>
        <v>-0.39226519337016574</v>
      </c>
      <c r="D12" s="455">
        <f>IF(ISNUMBER(
   IF(J_V="SI",(Datos!K12-Datos!U12)/Datos!U12,(Datos!K12+Datos!AA12-(Datos!U12+Datos!AI12))/(Datos!U12+Datos!AI12))
     ),IF(J_V="SI",(Datos!K12-Datos!U12)/Datos!U12,(Datos!K12+Datos!AA12-(Datos!U12+Datos!AI12))/(Datos!U12+Datos!AI12))," - ")</f>
        <v>-9.7264437689969604E-2</v>
      </c>
      <c r="E12" s="455">
        <f>IF(ISNUMBER(
   IF(J_V="SI",(Datos!L12-Datos!V12)/Datos!V12,(Datos!L12+Datos!AB12-(Datos!V12+Datos!AJ12))/(Datos!V12+Datos!AJ12))
     ),IF(J_V="SI",(Datos!L12-Datos!V12)/Datos!V12,(Datos!L12+Datos!AB12-(Datos!V12+Datos!AJ12))/(Datos!V12+Datos!AJ12))," - ")</f>
        <v>-0.1008174386920981</v>
      </c>
      <c r="F12" s="455">
        <f>IF(ISNUMBER((Datos!M12-Datos!W12)/Datos!W12),(Datos!M12-Datos!W12)/Datos!W12," - ")</f>
        <v>-0.36521739130434783</v>
      </c>
      <c r="G12" s="456">
        <f>IF(ISNUMBER((Datos!N12-Datos!X12)/Datos!X12),(Datos!N12-Datos!X12)/Datos!X12," - ")</f>
        <v>-0.40769230769230769</v>
      </c>
      <c r="H12" s="454">
        <f>IF(ISNUMBER(((NºAsuntos!G12/NºAsuntos!E12)-Datos!BD12)/Datos!BD12),((NºAsuntos!G12/NºAsuntos!E12)-Datos!BD12)/Datos!BD12," - ")</f>
        <v>0.4854103343465046</v>
      </c>
      <c r="I12" s="455">
        <f>IF(ISNUMBER(((NºAsuntos!I12/NºAsuntos!G12)-Datos!BE12)/Datos!BE12),((NºAsuntos!I12/NºAsuntos!G12)-Datos!BE12)/Datos!BE12," - ")</f>
        <v>-3.9358159249167617E-3</v>
      </c>
      <c r="J12" s="460">
        <f>IF(ISNUMBER((('Resol  Asuntos'!D12/NºAsuntos!G12)-Datos!BF12)/Datos!BF12),(('Resol  Asuntos'!D12/NºAsuntos!G12)-Datos!BF12)/Datos!BF12," - ")</f>
        <v>-0.37795907795907796</v>
      </c>
      <c r="K12" s="461">
        <f>IF(ISNUMBER((((NºAsuntos!C12+NºAsuntos!E12)/NºAsuntos!G12)-Datos!BG12)/Datos!BG12),(((NºAsuntos!C12+NºAsuntos!E12)/NºAsuntos!G12)-Datos!BG12)/Datos!BG12," - ")</f>
        <v>-2.7176753423225806E-3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0.20689655172413793</v>
      </c>
      <c r="C13" s="852">
        <f>IF(ISNUMBER(
   IF(J_V="SI",(Datos!J13-Datos!T13)/Datos!T13,(Datos!J13+Datos!Z13-(Datos!T13+Datos!AH13))/(Datos!T13+Datos!AH13))
     ),IF(J_V="SI",(Datos!J13-Datos!T13)/Datos!T13,(Datos!J13+Datos!Z13-(Datos!T13+Datos!AH13))/(Datos!T13+Datos!AH13))," - ")</f>
        <v>-0.39266055045871562</v>
      </c>
      <c r="D13" s="852">
        <f>IF(ISNUMBER(
   IF(J_V="SI",(Datos!K13-Datos!U13)/Datos!U13,(Datos!K13+Datos!AA13-(Datos!U13+Datos!AI13))/(Datos!U13+Datos!AI13))
     ),IF(J_V="SI",(Datos!K13-Datos!U13)/Datos!U13,(Datos!K13+Datos!AA13-(Datos!U13+Datos!AI13))/(Datos!U13+Datos!AI13))," - ")</f>
        <v>-0.10810810810810811</v>
      </c>
      <c r="E13" s="852">
        <f>IF(ISNUMBER(
   IF(J_V="SI",(Datos!L13-Datos!V13)/Datos!V13,(Datos!L13+Datos!AB13-(Datos!V13+Datos!AJ13))/(Datos!V13+Datos!AJ13))
     ),IF(J_V="SI",(Datos!L13-Datos!V13)/Datos!V13,(Datos!L13+Datos!AB13-(Datos!V13+Datos!AJ13))/(Datos!V13+Datos!AJ13))," - ")</f>
        <v>-9.5367847411444148E-2</v>
      </c>
      <c r="F13" s="853">
        <f>IF(ISNUMBER((Datos!M13-Datos!W13)/Datos!W13),(Datos!M13-Datos!W13)/Datos!W13," - ")</f>
        <v>-0.36521739130434783</v>
      </c>
      <c r="G13" s="854">
        <f>IF(ISNUMBER((Datos!N13-Datos!X13)/Datos!X13),(Datos!N13-Datos!X13)/Datos!X13," - ")</f>
        <v>-0.42105263157894735</v>
      </c>
      <c r="H13" s="854">
        <f>IF(ISNUMBER(((NºAsuntos!G13/NºAsuntos!E13)-Datos!BD13)/Datos!BD13),((NºAsuntos!G13/NºAsuntos!E13)-Datos!BD13)/Datos!BD13," - ")</f>
        <v>0.46852290356822079</v>
      </c>
      <c r="I13" s="854">
        <f>IF(ISNUMBER(((NºAsuntos!I13/NºAsuntos!G13)-Datos!BE13)/Datos!BE13),((NºAsuntos!I13/NºAsuntos!G13)-Datos!BE13)/Datos!BE13," - ")</f>
        <v>1.4284534720502114E-2</v>
      </c>
      <c r="J13" s="854">
        <f>IF(ISNUMBER((('Resol  Asuntos'!D13/NºAsuntos!G13)-Datos!BF13)/Datos!BF13),(('Resol  Asuntos'!D13/NºAsuntos!G13)-Datos!BF13)/Datos!BF13," - ")</f>
        <v>-0.37039627039627038</v>
      </c>
      <c r="K13" s="854">
        <f>IF(ISNUMBER((((NºAsuntos!C13+NºAsuntos!E13)/NºAsuntos!G13)-Datos!BG13)/Datos!BG13),(((NºAsuntos!C13+NºAsuntos!E13)/NºAsuntos!G13)-Datos!BG13)/Datos!BG13," - ")</f>
        <v>9.8264746812076389E-3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0.60240963855421692</v>
      </c>
      <c r="C17" s="455">
        <f>IF(ISNUMBER(
   IF(D_I="SI",(Datos!J17-Datos!T17)/Datos!T17,(Datos!J17+Datos!AD17-(Datos!T17+Datos!AL17))/(Datos!T17+Datos!AL17))
     ),IF(D_I="SI",(Datos!J17-Datos!T17)/Datos!T17,(Datos!J17+Datos!AD17-(Datos!T17+Datos!AL17))/(Datos!T17+Datos!AL17))," - ")</f>
        <v>-0.3117206982543641</v>
      </c>
      <c r="D17" s="455">
        <f>IF(ISNUMBER(
   IF(D_I="SI",(Datos!K17-Datos!U17)/Datos!U17,(Datos!K17+Datos!AE17-(Datos!U17+Datos!AM17))/(Datos!U17+Datos!AM17))
     ),IF(D_I="SI",(Datos!K17-Datos!U17)/Datos!U17,(Datos!K17+Datos!AE17-(Datos!U17+Datos!AM17))/(Datos!U17+Datos!AM17))," - ")</f>
        <v>-7.3954983922829579E-2</v>
      </c>
      <c r="E17" s="455">
        <f>IF(ISNUMBER(
   IF(D_I="SI",(Datos!L17-Datos!V17)/Datos!V17,(Datos!L17+Datos!AF17-(Datos!V17+Datos!AN17))/(Datos!V17+Datos!AN17))
     ),IF(D_I="SI",(Datos!L17-Datos!V17)/Datos!V17,(Datos!L17+Datos!AF17-(Datos!V17+Datos!AN17))/(Datos!V17+Datos!AN17))," - ")</f>
        <v>0.29273084479371314</v>
      </c>
      <c r="F17" s="455">
        <f>IF(ISNUMBER((Datos!M17-Datos!W17)/Datos!W17),(Datos!M17-Datos!W17)/Datos!W17," - ")</f>
        <v>-0.17142857142857143</v>
      </c>
      <c r="G17" s="456">
        <f>IF(ISNUMBER((Datos!N17-Datos!X17)/Datos!X17),(Datos!N17-Datos!X17)/Datos!X17," - ")</f>
        <v>-0.20499999999999999</v>
      </c>
      <c r="H17" s="454">
        <f>IF(ISNUMBER(((NºAsuntos!G17/NºAsuntos!E17)-Datos!BD17)/Datos!BD17),((NºAsuntos!G17/NºAsuntos!E17)-Datos!BD17)/Datos!BD17," - ")</f>
        <v>0.3454494617642947</v>
      </c>
      <c r="I17" s="455">
        <f>IF(ISNUMBER(((NºAsuntos!I17/NºAsuntos!G17)-Datos!BE17)/Datos!BE17),((NºAsuntos!I17/NºAsuntos!G17)-Datos!BE17)/Datos!BE17," - ")</f>
        <v>0.39596976642654441</v>
      </c>
      <c r="J17" s="460">
        <f>IF(ISNUMBER((('Resol  Asuntos'!D17/NºAsuntos!G17)-Datos!BF17)/Datos!BF17),(('Resol  Asuntos'!D17/NºAsuntos!G17)-Datos!BF17)/Datos!BF17," - ")</f>
        <v>-0.10525793650793648</v>
      </c>
      <c r="K17" s="461">
        <f>IF(ISNUMBER((((NºAsuntos!C17+NºAsuntos!E17)/NºAsuntos!G17)-Datos!BG17)/Datos!BG17),(((NºAsuntos!C17+NºAsuntos!E17)/NºAsuntos!G17)-Datos!BG17)/Datos!BG17," - ")</f>
        <v>0.24528101171023967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1.75</v>
      </c>
      <c r="C18" s="455">
        <f>IF(ISNUMBER(
   IF(D_I="SI",(Datos!J18-Datos!T18)/Datos!T18,(Datos!J18+Datos!AD18-(Datos!T18+Datos!AL18))/(Datos!T18+Datos!AL18))
     ),IF(D_I="SI",(Datos!J18-Datos!T18)/Datos!T18,(Datos!J18+Datos!AD18-(Datos!T18+Datos!AL18))/(Datos!T18+Datos!AL18))," - ")</f>
        <v>-0.4375</v>
      </c>
      <c r="D18" s="455">
        <f>IF(ISNUMBER(
   IF(D_I="SI",(Datos!K18-Datos!U18)/Datos!U18,(Datos!K18+Datos!AE18-(Datos!U18+Datos!AM18))/(Datos!U18+Datos!AM18))
     ),IF(D_I="SI",(Datos!K18-Datos!U18)/Datos!U18,(Datos!K18+Datos!AE18-(Datos!U18+Datos!AM18))/(Datos!U18+Datos!AM18))," - ")</f>
        <v>-5.8823529411764705E-2</v>
      </c>
      <c r="E18" s="455">
        <f>IF(ISNUMBER(
   IF(D_I="SI",(Datos!L18-Datos!V18)/Datos!V18,(Datos!L18+Datos!AF18-(Datos!V18+Datos!AN18))/(Datos!V18+Datos!AN18))
     ),IF(D_I="SI",(Datos!L18-Datos!V18)/Datos!V18,(Datos!L18+Datos!AF18-(Datos!V18+Datos!AN18))/(Datos!V18+Datos!AN18))," - ")</f>
        <v>1.2857142857142858</v>
      </c>
      <c r="F18" s="455">
        <f>IF(ISNUMBER((Datos!M18-Datos!W18)/Datos!W18),(Datos!M18-Datos!W18)/Datos!W18," - ")</f>
        <v>1</v>
      </c>
      <c r="G18" s="456">
        <f>IF(ISNUMBER((Datos!N18-Datos!X18)/Datos!X18),(Datos!N18-Datos!X18)/Datos!X18," - ")</f>
        <v>-6.25E-2</v>
      </c>
      <c r="H18" s="454">
        <f>IF(ISNUMBER(((NºAsuntos!G18/NºAsuntos!E18)-Datos!BD18)/Datos!BD18),((NºAsuntos!G18/NºAsuntos!E18)-Datos!BD18)/Datos!BD18," - ")</f>
        <v>0.67320261437908491</v>
      </c>
      <c r="I18" s="455">
        <f>IF(ISNUMBER(((NºAsuntos!I18/NºAsuntos!G18)-Datos!BE18)/Datos!BE18),((NºAsuntos!I18/NºAsuntos!G18)-Datos!BE18)/Datos!BE18," - ")</f>
        <v>1.4285714285714286</v>
      </c>
      <c r="J18" s="460">
        <f>IF(ISNUMBER((('Resol  Asuntos'!D18/NºAsuntos!G18)-Datos!BF18)/Datos!BF18),(('Resol  Asuntos'!D18/NºAsuntos!G18)-Datos!BF18)/Datos!BF18," - ")</f>
        <v>1.125</v>
      </c>
      <c r="K18" s="461">
        <f>IF(ISNUMBER((((NºAsuntos!C18+NºAsuntos!E18)/NºAsuntos!G18)-Datos!BG18)/Datos!BG18),(((NºAsuntos!C18+NºAsuntos!E18)/NºAsuntos!G18)-Datos!BG18)/Datos!BG18," - ")</f>
        <v>0.37239583333333326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0.62411347517730498</v>
      </c>
      <c r="C19" s="852">
        <f>IF(ISNUMBER(
   IF(Criterios!B14="SI",(Datos!J19-Datos!T19)/Datos!T19,(Datos!J19+Datos!AD19-(Datos!T19+Datos!AL19))/(Datos!T19+Datos!AL19))
     ),IF(Criterios!B14="SI",(Datos!J19-Datos!T19)/Datos!T19,(Datos!J19+Datos!AD19-(Datos!T19+Datos!AL19))/(Datos!T19+Datos!AL19))," - ")</f>
        <v>-0.31654676258992803</v>
      </c>
      <c r="D19" s="852">
        <f>IF(ISNUMBER(
   IF(Criterios!B14="SI",(Datos!K19-Datos!U19)/Datos!U19,(Datos!K19+Datos!AE19-(Datos!U19+Datos!AM19))/(Datos!U19+Datos!AM19))
     ),IF(Criterios!B14="SI",(Datos!K19-Datos!U19)/Datos!U19,(Datos!K19+Datos!AE19-(Datos!U19+Datos!AM19))/(Datos!U19+Datos!AM19))," - ")</f>
        <v>-7.3170731707317069E-2</v>
      </c>
      <c r="E19" s="852">
        <f>IF(ISNUMBER(
   IF(Criterios!B14="SI",(Datos!L19-Datos!V19)/Datos!V19,(Datos!L19+Datos!AF19-(Datos!V19+Datos!AN19))/(Datos!V19+Datos!AN19))
     ),IF(Criterios!B14="SI",(Datos!L19-Datos!V19)/Datos!V19,(Datos!L19+Datos!AF19-(Datos!V19+Datos!AN19))/(Datos!V19+Datos!AN19))," - ")</f>
        <v>0.30620155038759689</v>
      </c>
      <c r="F19" s="853">
        <f>IF(ISNUMBER((Datos!M19-Datos!W19)/Datos!W19),(Datos!M19-Datos!W19)/Datos!W19," - ")</f>
        <v>-0.1388888888888889</v>
      </c>
      <c r="G19" s="854">
        <f>IF(ISNUMBER((Datos!N19-Datos!X19)/Datos!X19),(Datos!N19-Datos!X19)/Datos!X19," - ")</f>
        <v>-0.19444444444444445</v>
      </c>
      <c r="H19" s="854">
        <f>IF(ISNUMBER(((NºAsuntos!G19/NºAsuntos!E19)-Datos!BD19)/Datos!BD19),((NºAsuntos!G19/NºAsuntos!E19)-Datos!BD19)/Datos!BD19," - ")</f>
        <v>0.35609756097560974</v>
      </c>
      <c r="I19" s="854">
        <f>IF(ISNUMBER(((NºAsuntos!I19/NºAsuntos!G19)-Datos!BE19)/Datos!BE19),((NºAsuntos!I19/NºAsuntos!G19)-Datos!BE19)/Datos!BE19," - ")</f>
        <v>0.40932272541819659</v>
      </c>
      <c r="J19" s="854">
        <f>IF(ISNUMBER((('Resol  Asuntos'!D19/NºAsuntos!G19)-Datos!BF19)/Datos!BF19),(('Resol  Asuntos'!D19/NºAsuntos!G19)-Datos!BF19)/Datos!BF19," - ")</f>
        <v>-7.0906432748538029E-2</v>
      </c>
      <c r="K19" s="854">
        <f>IF(ISNUMBER((((NºAsuntos!C19+NºAsuntos!E19)/NºAsuntos!G19)-Datos!BG19)/Datos!BG19),(((NºAsuntos!C19+NºAsuntos!E19)/NºAsuntos!G19)-Datos!BG19)/Datos!BG19," - ")</f>
        <v>0.24849624060150366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0.39365079365079364</v>
      </c>
      <c r="C20" s="799">
        <f>IF(ISNUMBER(
   IF(J_V="SI",(Datos!J20-Datos!T20)/Datos!T20,(Datos!J20+Datos!Z20-(Datos!T20+Datos!AH20))/(Datos!T20+Datos!AH20))
     ),IF(J_V="SI",(Datos!J20-Datos!T20)/Datos!T20,(Datos!J20+Datos!Z20-(Datos!T20+Datos!AH20))/(Datos!T20+Datos!AH20))," - ")</f>
        <v>-0.35966735966735969</v>
      </c>
      <c r="D20" s="799">
        <f>IF(ISNUMBER(
   IF(J_V="SI",(Datos!K20-Datos!U20)/Datos!U20,(Datos!K20+Datos!AA20-(Datos!U20+Datos!AI20))/(Datos!U20+Datos!AI20))
     ),IF(J_V="SI",(Datos!K20-Datos!U20)/Datos!U20,(Datos!K20+Datos!AA20-(Datos!U20+Datos!AI20))/(Datos!U20+Datos!AI20))," - ")</f>
        <v>-9.0771558245083206E-2</v>
      </c>
      <c r="E20" s="799">
        <f>IF(ISNUMBER(
   IF(J_V="SI",(Datos!L20-Datos!V20)/Datos!V20,(Datos!L20+Datos!AB20-(Datos!V20+Datos!AJ20))/(Datos!V20+Datos!AJ20))
     ),IF(J_V="SI",(Datos!L20-Datos!V20)/Datos!V20,(Datos!L20+Datos!AB20-(Datos!V20+Datos!AJ20))/(Datos!V20+Datos!AJ20))," - ")</f>
        <v>7.0400000000000004E-2</v>
      </c>
      <c r="F20" s="800">
        <f>IF(ISNUMBER((Datos!M20-Datos!W20)/Datos!W20),(Datos!M20-Datos!W20)/Datos!W20," - ")</f>
        <v>-0.31125827814569534</v>
      </c>
      <c r="G20" s="801">
        <f>IF(ISNUMBER((Datos!N20-Datos!X20)/Datos!X20),(Datos!N20-Datos!X20)/Datos!X20," - ")</f>
        <v>-0.28080229226361031</v>
      </c>
      <c r="H20" s="802">
        <f>IF(ISNUMBER((Tasas!B20-Datos!BD20)/Datos!BD20),(Tasas!B20-Datos!BD20)/Datos!BD20," - ")</f>
        <v>0.41993143014323042</v>
      </c>
      <c r="I20" s="803">
        <f>IF(ISNUMBER((Tasas!C20-Datos!BE20)/Datos!BE20),(Tasas!C20-Datos!BE20)/Datos!BE20," - ")</f>
        <v>0.17726189683860219</v>
      </c>
      <c r="J20" s="804">
        <f>IF(ISNUMBER((Tasas!D20-Datos!BF20)/Datos!BF20),(Tasas!D20-Datos!BF20)/Datos!BF20," - ")</f>
        <v>-0.31094761742477395</v>
      </c>
      <c r="K20" s="804">
        <f>IF(ISNUMBER((Tasas!E20-Datos!BG20)/Datos!BG20),(Tasas!E20-Datos!BG20)/Datos!BG20," - ")</f>
        <v>0.11482872018057635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3moT+qLCw+nro0BqoNqxBNGIOUWNbbpTkkfVEGghqPeOZLSiTsF9p9KjNzRPS79U4SjhNgoKKYSCzyZh63slAw==" saltValue="v+fvEpVkNPfcePZDZ4HcN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BARBASTRO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v>
      </c>
      <c r="C12" s="442">
        <f>IF(ISNUMBER(NºAsuntos!I12/NºAsuntos!G12),NºAsuntos!I12/NºAsuntos!G12," - ")</f>
        <v>2.2222222222222223</v>
      </c>
      <c r="D12" s="443">
        <f>IF(ISNUMBER('Resol  Asuntos'!D12/NºAsuntos!G12),'Resol  Asuntos'!D12/NºAsuntos!G12," - ")</f>
        <v>0.24579124579124578</v>
      </c>
      <c r="E12" s="444">
        <f>IF(ISNUMBER((NºAsuntos!C12+NºAsuntos!E12)/NºAsuntos!G12),(NºAsuntos!C12+NºAsuntos!E12)/NºAsuntos!G12," - ")</f>
        <v>3.2222222222222223</v>
      </c>
      <c r="G12" s="462"/>
    </row>
    <row r="13" spans="1:7" ht="14.25" thickTop="1" thickBot="1">
      <c r="A13" s="845" t="str">
        <f>Datos!A13</f>
        <v>TOTAL</v>
      </c>
      <c r="B13" s="855">
        <f>IF(ISNUMBER(NºAsuntos!G13/NºAsuntos!E13),NºAsuntos!G13/NºAsuntos!E13," - ")</f>
        <v>0.89728096676737157</v>
      </c>
      <c r="C13" s="856">
        <f>IF(ISNUMBER(NºAsuntos!I13/NºAsuntos!G13),NºAsuntos!I13/NºAsuntos!G13," - ")</f>
        <v>2.2356902356902357</v>
      </c>
      <c r="D13" s="857">
        <f>IF(ISNUMBER('Resol  Asuntos'!D13/NºAsuntos!G13),'Resol  Asuntos'!D13/NºAsuntos!G13," - ")</f>
        <v>0.24579124579124578</v>
      </c>
      <c r="E13" s="858">
        <f>IF(ISNUMBER((NºAsuntos!C13+NºAsuntos!E13)/NºAsuntos!G13),(NºAsuntos!C13+NºAsuntos!E13)/NºAsuntos!G13," - ")</f>
        <v>3.2356902356902357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1.0434782608695652</v>
      </c>
      <c r="C17" s="442">
        <f>IF(ISNUMBER(NºAsuntos!I17/NºAsuntos!G17),NºAsuntos!I17/NºAsuntos!G17," - ")</f>
        <v>2.2847222222222223</v>
      </c>
      <c r="D17" s="443">
        <f>IF(ISNUMBER('Resol  Asuntos'!D17/NºAsuntos!G17),'Resol  Asuntos'!D17/NºAsuntos!G17," - ")</f>
        <v>0.10069444444444445</v>
      </c>
      <c r="E17" s="444">
        <f>IF(ISNUMBER((NºAsuntos!C17+NºAsuntos!E17)/NºAsuntos!G17),(NºAsuntos!C17+NºAsuntos!E17)/NºAsuntos!G17," - ")</f>
        <v>3.2673611111111112</v>
      </c>
      <c r="G17" s="462"/>
    </row>
    <row r="18" spans="1:7" ht="21.75" thickBot="1">
      <c r="A18" s="401" t="str">
        <f>Datos!A18</f>
        <v>Sección De Violencia sobre la Mujer del TI</v>
      </c>
      <c r="B18" s="441">
        <f>IF(ISNUMBER(NºAsuntos!G18/NºAsuntos!E18),NºAsuntos!G18/NºAsuntos!E18," - ")</f>
        <v>1.7777777777777777</v>
      </c>
      <c r="C18" s="442">
        <f>IF(ISNUMBER(NºAsuntos!I18/NºAsuntos!G18),NºAsuntos!I18/NºAsuntos!G18," - ")</f>
        <v>1</v>
      </c>
      <c r="D18" s="443">
        <f>IF(ISNUMBER('Resol  Asuntos'!D18/NºAsuntos!G18),'Resol  Asuntos'!D18/NºAsuntos!G18," - ")</f>
        <v>0.125</v>
      </c>
      <c r="E18" s="444">
        <f>IF(ISNUMBER((NºAsuntos!C18+NºAsuntos!E18)/NºAsuntos!G18),(NºAsuntos!C18+NºAsuntos!E18)/NºAsuntos!G18," - ")</f>
        <v>1.9375</v>
      </c>
      <c r="G18" s="462"/>
    </row>
    <row r="19" spans="1:7" ht="14.25" thickTop="1" thickBot="1">
      <c r="A19" s="845" t="str">
        <f>Datos!A19</f>
        <v>TOTAL</v>
      </c>
      <c r="B19" s="855">
        <f>IF(ISNUMBER(NºAsuntos!G19/NºAsuntos!E19),NºAsuntos!G19/NºAsuntos!E19," - ")</f>
        <v>1.0666666666666667</v>
      </c>
      <c r="C19" s="856">
        <f>IF(ISNUMBER(NºAsuntos!I19/NºAsuntos!G19),NºAsuntos!I19/NºAsuntos!G19," - ")</f>
        <v>2.2171052631578947</v>
      </c>
      <c r="D19" s="859">
        <f>IF(ISNUMBER('Resol  Asuntos'!D19/NºAsuntos!G19),'Resol  Asuntos'!D19/NºAsuntos!G19," - ")</f>
        <v>0.10197368421052631</v>
      </c>
      <c r="E19" s="858">
        <f>IF(ISNUMBER((NºAsuntos!C19+NºAsuntos!E19)/NºAsuntos!G19),(NºAsuntos!C19+NºAsuntos!E19)/NºAsuntos!G19," - ")</f>
        <v>3.1973684210526314</v>
      </c>
      <c r="G19" s="462"/>
    </row>
    <row r="20" spans="1:7" ht="15.75" customHeight="1" thickTop="1" thickBot="1">
      <c r="A20" s="790" t="str">
        <f>Datos!A20</f>
        <v>TOTAL JURISDICCIONES</v>
      </c>
      <c r="B20" s="805">
        <f>IF(ISNUMBER(NºAsuntos!G20/NºAsuntos!E20),NºAsuntos!G20/NºAsuntos!E20," - ")</f>
        <v>0.97564935064935066</v>
      </c>
      <c r="C20" s="806">
        <f>IF(ISNUMBER(NºAsuntos!I20/NºAsuntos!G20),NºAsuntos!I20/NºAsuntos!G20," - ")</f>
        <v>2.2262895174708817</v>
      </c>
      <c r="D20" s="807">
        <f>IF(ISNUMBER('Resol  Asuntos'!D20/NºAsuntos!G20),'Resol  Asuntos'!D20/NºAsuntos!G20," - ")</f>
        <v>0.17304492512479203</v>
      </c>
      <c r="E20" s="808">
        <f>IF(ISNUMBER((NºAsuntos!C20+NºAsuntos!E20)/NºAsuntos!G20),(NºAsuntos!C20+NºAsuntos!E20)/NºAsuntos!G20," - ")</f>
        <v>3.2163061564059898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cbkkDFQ6oNSyAkaKZvEv5tnTxd9NX0UKkcbqPi5alnzEe0eHknvOunGXhX9D8lMYBNYqdBriViXlHMFUTiysbQ==" saltValue="rxURS8PiBBt+H82Ui/E2u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BARBASTRO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97</v>
      </c>
      <c r="Y12" s="333">
        <f t="shared" si="0"/>
        <v>97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1068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73</v>
      </c>
      <c r="AJ12" s="228" t="str">
        <f>IF(ISNUMBER(Datos!BW12),Datos!BW12," - ")</f>
        <v xml:space="preserve"> - </v>
      </c>
      <c r="AK12" s="227" t="str">
        <f>IF(ISNUMBER(Datos!BX12),Datos!BX12," - ")</f>
        <v xml:space="preserve"> - </v>
      </c>
      <c r="AL12" s="242">
        <f>IF(ISNUMBER(NºAsuntos!G12/NºAsuntos!E12),NºAsuntos!G12/NºAsuntos!E12," - ")</f>
        <v>0.9</v>
      </c>
      <c r="AM12" s="259">
        <f>IF(ISNUMBER(((NºAsuntos!I12/NºAsuntos!G12)*11)/factor_trimestre),((NºAsuntos!I12/NºAsuntos!G12)*11)/factor_trimestre," - ")</f>
        <v>6.6666666666666679</v>
      </c>
      <c r="AN12" s="243">
        <f>IF(ISNUMBER('Resol  Asuntos'!D12/NºAsuntos!G12),'Resol  Asuntos'!D12/NºAsuntos!G12," - ")</f>
        <v>0.24579124579124578</v>
      </c>
      <c r="AO12" s="244">
        <f>IF(ISNUMBER((NºAsuntos!C12+NºAsuntos!E12)/NºAsuntos!G12),(NºAsuntos!C12+NºAsuntos!E12)/NºAsuntos!G12," - ")</f>
        <v>3.2222222222222223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3</v>
      </c>
      <c r="G13" s="863">
        <f t="shared" si="3"/>
        <v>3</v>
      </c>
      <c r="H13" s="862">
        <f t="shared" si="3"/>
        <v>0</v>
      </c>
      <c r="I13" s="864">
        <f t="shared" si="3"/>
        <v>0</v>
      </c>
      <c r="J13" s="864">
        <f t="shared" si="3"/>
        <v>0</v>
      </c>
      <c r="K13" s="864">
        <f t="shared" si="3"/>
        <v>0</v>
      </c>
      <c r="L13" s="864">
        <f t="shared" si="3"/>
        <v>68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97</v>
      </c>
      <c r="Y13" s="865">
        <f t="shared" si="4"/>
        <v>97</v>
      </c>
      <c r="Z13" s="865">
        <f t="shared" si="4"/>
        <v>0</v>
      </c>
      <c r="AA13" s="865">
        <f t="shared" si="4"/>
        <v>4</v>
      </c>
      <c r="AB13" s="865">
        <f t="shared" si="4"/>
        <v>1068</v>
      </c>
      <c r="AC13" s="865">
        <f t="shared" si="4"/>
        <v>4</v>
      </c>
      <c r="AD13" s="865">
        <f t="shared" si="4"/>
        <v>0</v>
      </c>
      <c r="AE13" s="869">
        <f t="shared" si="4"/>
        <v>0</v>
      </c>
      <c r="AF13" s="862">
        <f t="shared" si="4"/>
        <v>0</v>
      </c>
      <c r="AG13" s="870">
        <f t="shared" si="4"/>
        <v>0</v>
      </c>
      <c r="AH13" s="867">
        <f t="shared" si="4"/>
        <v>0</v>
      </c>
      <c r="AI13" s="862">
        <f t="shared" si="4"/>
        <v>73</v>
      </c>
      <c r="AJ13" s="864">
        <f t="shared" si="4"/>
        <v>0</v>
      </c>
      <c r="AK13" s="867">
        <f>SUBTOTAL(9,AK9:AK12)</f>
        <v>0</v>
      </c>
      <c r="AL13" s="871">
        <f>IF(ISNUMBER(NºAsuntos!G13/NºAsuntos!E13),NºAsuntos!G13/NºAsuntos!E13," - ")</f>
        <v>0.89728096676737157</v>
      </c>
      <c r="AM13" s="871">
        <f>IF(ISNUMBER(((NºAsuntos!I13/NºAsuntos!G13)*11)/factor_trimestre),((NºAsuntos!I13/NºAsuntos!G13)*11)/factor_trimestre," - ")</f>
        <v>6.7070707070707067</v>
      </c>
      <c r="AN13" s="872">
        <f>IF(ISNUMBER('Resol  Asuntos'!D13/NºAsuntos!G13),'Resol  Asuntos'!D13/NºAsuntos!G13," - ")</f>
        <v>0.24579124579124578</v>
      </c>
      <c r="AO13" s="873">
        <f>IF(ISNUMBER((NºAsuntos!C13+NºAsuntos!E13)/NºAsuntos!G13),(NºAsuntos!C13+NºAsuntos!E13)/NºAsuntos!G13," - ")</f>
        <v>3.2356902356902357</v>
      </c>
      <c r="AP13" s="874" t="str">
        <f t="shared" si="2"/>
        <v xml:space="preserve"> - </v>
      </c>
      <c r="AQ13" s="874">
        <f>IF(ISNUMBER((H13-W13+K13)/(F13)),(H13-W13+K13)/(F13)," - ")</f>
        <v>0</v>
      </c>
      <c r="AR13" s="875">
        <f>IF(ISNUMBER((Datos!P13-Datos!Q13)/(Datos!R13-Datos!P13+Datos!Q13)),(Datos!P13-Datos!Q13)/(Datos!R13-Datos!P13+Datos!Q13)," - ")</f>
        <v>-2.6435733819507749E-2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670</v>
      </c>
      <c r="G17" s="332">
        <f>IF(ISNUMBER(IF(D_I="SI",Datos!I17,Datos!I17+Datos!AC17)),IF(D_I="SI",Datos!I17,Datos!I17+Datos!AC17)," - ")</f>
        <v>665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288</v>
      </c>
      <c r="X17" s="225">
        <f>IF(ISNUMBER(Datos!Q17),Datos!Q17," - ")</f>
        <v>11</v>
      </c>
      <c r="Y17" s="333">
        <f t="shared" ref="Y17:Y18" si="9">SUM(W17:X17)</f>
        <v>299</v>
      </c>
      <c r="Z17" s="334" t="str">
        <f>IF(ISNUMBER(Datos!CC17),Datos!CC17," - ")</f>
        <v xml:space="preserve"> - </v>
      </c>
      <c r="AA17" s="331">
        <f>IF(ISNUMBER(IF(D_I="SI",Datos!L17,Datos!L17+Datos!AF17)),IF(D_I="SI",Datos!L17,Datos!L17+Datos!AF17)," - ")</f>
        <v>658</v>
      </c>
      <c r="AB17" s="333">
        <f>IF(ISNUMBER(Datos!R17),Datos!R17," - ")</f>
        <v>22</v>
      </c>
      <c r="AC17" s="333">
        <f t="shared" si="6"/>
        <v>680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v>
      </c>
      <c r="AJ17" s="230" t="str">
        <f>IF(ISNUMBER(Datos!BW17),Datos!BW17," - ")</f>
        <v xml:space="preserve"> - </v>
      </c>
      <c r="AK17" s="231" t="str">
        <f>IF(ISNUMBER(Datos!BX17),Datos!BX17," - ")</f>
        <v xml:space="preserve"> - </v>
      </c>
      <c r="AL17" s="242">
        <f>IF(ISNUMBER(NºAsuntos!G17/NºAsuntos!E17),NºAsuntos!G17/NºAsuntos!E17," - ")</f>
        <v>1.0434782608695652</v>
      </c>
      <c r="AM17" s="259">
        <f>IF(ISNUMBER(((NºAsuntos!I17/NºAsuntos!G17)*11)/factor_trimestre),((NºAsuntos!I17/NºAsuntos!G17)*11)/factor_trimestre," - ")</f>
        <v>6.8541666666666679</v>
      </c>
      <c r="AN17" s="243">
        <f>IF(ISNUMBER('Resol  Asuntos'!D17/NºAsuntos!G17),'Resol  Asuntos'!D17/NºAsuntos!G17," - ")</f>
        <v>0.10069444444444445</v>
      </c>
      <c r="AO17" s="244">
        <f>IF(ISNUMBER((NºAsuntos!C17+NºAsuntos!E17)/NºAsuntos!G17),(NºAsuntos!C17+NºAsuntos!E17)/NºAsuntos!G17," - ")</f>
        <v>3.2673611111111112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v>
      </c>
      <c r="X18" s="225">
        <f>IF(ISNUMBER(Datos!Q18),Datos!Q18," - ")</f>
        <v>0</v>
      </c>
      <c r="Y18" s="333">
        <f t="shared" si="9"/>
        <v>16</v>
      </c>
      <c r="Z18" s="334" t="str">
        <f>IF(ISNUMBER(Datos!CC18),Datos!CC18," - ")</f>
        <v xml:space="preserve"> - </v>
      </c>
      <c r="AA18" s="331">
        <f>IF(ISNUMBER(Datos!L18),Datos!L18,"-")</f>
        <v>16</v>
      </c>
      <c r="AB18" s="333">
        <f>IF(ISNUMBER(Datos!R18),Datos!R18," - ")</f>
        <v>0</v>
      </c>
      <c r="AC18" s="333">
        <f t="shared" si="6"/>
        <v>16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1.7777777777777777</v>
      </c>
      <c r="AM18" s="259">
        <f>IF(ISNUMBER(((NºAsuntos!I18/NºAsuntos!G18)*11)/factor_trimestre),((NºAsuntos!I18/NºAsuntos!G18)*11)/factor_trimestre," - ")</f>
        <v>3</v>
      </c>
      <c r="AN18" s="243">
        <f>IF(ISNUMBER('Resol  Asuntos'!D18/NºAsuntos!G18),'Resol  Asuntos'!D18/NºAsuntos!G18," - ")</f>
        <v>0.125</v>
      </c>
      <c r="AO18" s="244">
        <f>IF(ISNUMBER((NºAsuntos!C18+NºAsuntos!E18)/NºAsuntos!G18),(NºAsuntos!C18+NºAsuntos!E18)/NºAsuntos!G18," - ")</f>
        <v>1.9375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670</v>
      </c>
      <c r="G19" s="863">
        <f>SUBTOTAL(9,G15:G18)</f>
        <v>687</v>
      </c>
      <c r="H19" s="862">
        <f t="shared" ref="H19:O19" si="12">SUBTOTAL(9,H14:H18)</f>
        <v>0</v>
      </c>
      <c r="I19" s="864">
        <f t="shared" si="12"/>
        <v>0</v>
      </c>
      <c r="J19" s="864">
        <f t="shared" si="12"/>
        <v>0</v>
      </c>
      <c r="K19" s="864">
        <f t="shared" si="12"/>
        <v>0</v>
      </c>
      <c r="L19" s="864">
        <f t="shared" si="12"/>
        <v>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304</v>
      </c>
      <c r="X19" s="864">
        <f t="shared" si="13"/>
        <v>11</v>
      </c>
      <c r="Y19" s="865">
        <f t="shared" si="13"/>
        <v>315</v>
      </c>
      <c r="Z19" s="865">
        <f t="shared" si="13"/>
        <v>0</v>
      </c>
      <c r="AA19" s="865">
        <f t="shared" si="13"/>
        <v>674</v>
      </c>
      <c r="AB19" s="865">
        <f t="shared" si="13"/>
        <v>22</v>
      </c>
      <c r="AC19" s="865">
        <f t="shared" si="13"/>
        <v>696</v>
      </c>
      <c r="AD19" s="865">
        <f t="shared" si="13"/>
        <v>0</v>
      </c>
      <c r="AE19" s="869">
        <f t="shared" si="13"/>
        <v>0</v>
      </c>
      <c r="AF19" s="862">
        <f t="shared" si="13"/>
        <v>0</v>
      </c>
      <c r="AG19" s="870">
        <f t="shared" si="13"/>
        <v>0</v>
      </c>
      <c r="AH19" s="867">
        <f t="shared" si="13"/>
        <v>0</v>
      </c>
      <c r="AI19" s="862">
        <f t="shared" si="13"/>
        <v>31</v>
      </c>
      <c r="AJ19" s="864">
        <f t="shared" si="13"/>
        <v>0</v>
      </c>
      <c r="AK19" s="867">
        <f t="shared" si="13"/>
        <v>0</v>
      </c>
      <c r="AL19" s="871">
        <f>IF(ISNUMBER(NºAsuntos!G19/NºAsuntos!E19),NºAsuntos!G19/NºAsuntos!E19," - ")</f>
        <v>1.0666666666666667</v>
      </c>
      <c r="AM19" s="871">
        <f>IF(ISNUMBER(((NºAsuntos!I19/NºAsuntos!G19)*11)/factor_trimestre),((NºAsuntos!I19/NºAsuntos!G19)*11)/factor_trimestre," - ")</f>
        <v>6.651315789473685</v>
      </c>
      <c r="AN19" s="872">
        <f>IF(ISNUMBER('Resol  Asuntos'!D19/NºAsuntos!G19),'Resol  Asuntos'!D19/NºAsuntos!G19," - ")</f>
        <v>0.10197368421052631</v>
      </c>
      <c r="AO19" s="873">
        <f>IF(ISNUMBER((NºAsuntos!C19+NºAsuntos!E19)/NºAsuntos!G19),(NºAsuntos!C19+NºAsuntos!E19)/NºAsuntos!G19," - ")</f>
        <v>3.1973684210526314</v>
      </c>
      <c r="AP19" s="874" t="str">
        <f t="shared" si="2"/>
        <v xml:space="preserve"> - </v>
      </c>
      <c r="AQ19" s="874">
        <f>IF(ISNUMBER((H19-W19+K19)/(F19)),(H19-W19+K19)/(F19)," - ")</f>
        <v>-0.45373134328358211</v>
      </c>
      <c r="AR19" s="875">
        <f>IF(ISNUMBER((Datos!P19-Datos!Q19)/(Datos!R19-Datos!P19+Datos!Q19)),(Datos!P19-Datos!Q19)/(Datos!R19-Datos!P19+Datos!Q19)," - ")</f>
        <v>-0.12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673</v>
      </c>
      <c r="G20" s="818">
        <f t="shared" si="15"/>
        <v>690</v>
      </c>
      <c r="H20" s="817">
        <f t="shared" si="15"/>
        <v>0</v>
      </c>
      <c r="I20" s="819">
        <f t="shared" si="15"/>
        <v>0</v>
      </c>
      <c r="J20" s="819">
        <f t="shared" si="15"/>
        <v>0</v>
      </c>
      <c r="K20" s="878">
        <f t="shared" si="15"/>
        <v>0</v>
      </c>
      <c r="L20" s="819">
        <f t="shared" si="15"/>
        <v>76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304</v>
      </c>
      <c r="X20" s="818">
        <f t="shared" si="16"/>
        <v>108</v>
      </c>
      <c r="Y20" s="825">
        <f t="shared" si="16"/>
        <v>412</v>
      </c>
      <c r="Z20" s="825">
        <f t="shared" si="16"/>
        <v>0</v>
      </c>
      <c r="AA20" s="825">
        <f t="shared" si="16"/>
        <v>678</v>
      </c>
      <c r="AB20" s="825">
        <f t="shared" si="16"/>
        <v>1090</v>
      </c>
      <c r="AC20" s="825">
        <f t="shared" si="16"/>
        <v>700</v>
      </c>
      <c r="AD20" s="825">
        <f t="shared" si="16"/>
        <v>0</v>
      </c>
      <c r="AE20" s="827">
        <f t="shared" si="16"/>
        <v>0</v>
      </c>
      <c r="AF20" s="828">
        <f t="shared" si="16"/>
        <v>0</v>
      </c>
      <c r="AG20" s="829">
        <f t="shared" si="16"/>
        <v>0</v>
      </c>
      <c r="AH20" s="827">
        <f t="shared" si="16"/>
        <v>0</v>
      </c>
      <c r="AI20" s="817">
        <f t="shared" si="16"/>
        <v>104</v>
      </c>
      <c r="AJ20" s="817">
        <f t="shared" si="16"/>
        <v>0</v>
      </c>
      <c r="AK20" s="827">
        <f t="shared" si="16"/>
        <v>0</v>
      </c>
      <c r="AL20" s="881">
        <f>IF(ISNUMBER(NºAsuntos!G20/NºAsuntos!E20),NºAsuntos!G20/NºAsuntos!E20," - ")</f>
        <v>0.97564935064935066</v>
      </c>
      <c r="AM20" s="882">
        <f>IF(ISNUMBER(((NºAsuntos!I20/NºAsuntos!G20)*11)/factor_trimestre),((NºAsuntos!I20/NºAsuntos!G20)*11)/factor_trimestre," - ")</f>
        <v>6.678868552412645</v>
      </c>
      <c r="AN20" s="882">
        <f>IF(ISNUMBER('Resol  Asuntos'!D20/NºAsuntos!G20),'Resol  Asuntos'!D20/NºAsuntos!G20," - ")</f>
        <v>0.17304492512479203</v>
      </c>
      <c r="AO20" s="883">
        <f>IF(ISNUMBER((NºAsuntos!C20+NºAsuntos!E20)/NºAsuntos!G20),(NºAsuntos!C20+NºAsuntos!E20)/NºAsuntos!G20," - ")</f>
        <v>3.2163061564059898</v>
      </c>
      <c r="AP20" s="884" t="str">
        <f t="shared" si="2"/>
        <v xml:space="preserve"> - </v>
      </c>
      <c r="AQ20" s="885">
        <f>IF(OR(ISNUMBER(FIND("01",Criterios!A8,1)),ISNUMBER(FIND("02",Criterios!A8,1)),ISNUMBER(FIND("03",Criterios!A8,1)),ISNUMBER(FIND("04",Criterios!A8,1))),(I20-W20+K20)/(F20-K20),(H20-W20+K20)/(F20-K20))</f>
        <v>-0.45170876671619614</v>
      </c>
      <c r="AR20" s="886">
        <f>IF(ISNUMBER((Datos!P20-Datos!Q20)/(Datos!R20-Datos!P20+Datos!Q20)),(Datos!P20-Datos!Q20)/(Datos!R20-Datos!P20+Datos!Q20)," - ")</f>
        <v>-2.8520499108734401E-2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276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385.09262954948042</v>
      </c>
      <c r="G22" s="252">
        <f>IF(ISNUMBER(STDEV(G8:G19)),STDEV(G8:G19),"-")</f>
        <v>365.31356394199219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159.43901655491982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32.413988749715244</v>
      </c>
      <c r="AJ22" s="251">
        <f t="shared" si="20"/>
        <v>0</v>
      </c>
      <c r="AK22" s="253">
        <f t="shared" si="20"/>
        <v>0</v>
      </c>
      <c r="AL22" s="248">
        <f t="shared" si="20"/>
        <v>0.56838510776773443</v>
      </c>
      <c r="AM22" s="249">
        <f t="shared" si="20"/>
        <v>1.6654795714301887</v>
      </c>
      <c r="AN22" s="249">
        <f t="shared" si="20"/>
        <v>7.5424400356872798E-2</v>
      </c>
      <c r="AO22" s="250">
        <f t="shared" si="20"/>
        <v>0.57887024842025436</v>
      </c>
      <c r="AP22" s="290" t="str">
        <f t="shared" si="20"/>
        <v>-</v>
      </c>
      <c r="AQ22" s="291">
        <f t="shared" si="20"/>
        <v>0.32083650967270216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a1yqDDkDD2PozU46T0SEd5d7YCVb+Ee1pHhgXukyQccnOAs0L++l+e7oscLy0ohapF+2Gha841O2cPqUhRHzw==" saltValue="sycCIV92GroIbrGWhIqu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BARBASTRO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v>
      </c>
      <c r="E10" s="347">
        <f>IF(ISNUMBER((Datos!J10-Datos!T10)/Datos!T10),(Datos!J10-Datos!T10)/Datos!T10," - ")</f>
        <v>-0.5</v>
      </c>
      <c r="F10" s="347">
        <f>IF(ISNUMBER((Datos!K10-Datos!U10)/Datos!U10),(Datos!K10-Datos!U10)/Datos!U10," - ")</f>
        <v>-1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-0.36521739130434783</v>
      </c>
      <c r="I12" s="349">
        <f>IF(ISNUMBER((Tasas!C12-Datos!BE12)/Datos!BE12),(Tasas!C12-Datos!BE12)/Datos!BE12," - ")</f>
        <v>-3.9358159249167617E-3</v>
      </c>
      <c r="J12" s="348">
        <f>IF(ISNUMBER((Tasas!D12-Datos!BF12)/Datos!BF12),(Tasas!D12-Datos!BF12)/Datos!BF12," - ")</f>
        <v>-0.37795907795907796</v>
      </c>
      <c r="K12" s="350">
        <f>IF(ISNUMBER((Tasas!E12-Datos!BG12)/Datos!BG12),(Tasas!E12-Datos!BG12)/Datos!BG12," - ")</f>
        <v>-2.7176753423225806E-3</v>
      </c>
      <c r="M12" t="e">
        <f>IF(Monitorios="SI",Datos!CE12,0)</f>
        <v>#REF!</v>
      </c>
      <c r="N12" t="e">
        <f>IF(Monitorios="SI",Datos!CF12,0)</f>
        <v>#REF!</v>
      </c>
      <c r="O12" t="e">
        <f>IF(Monitorios="SI",Datos!CG12,0)</f>
        <v>#REF!</v>
      </c>
      <c r="P12" t="e">
        <f>IF(Monitorios="SI",Datos!CH12,0)</f>
        <v>#REF!</v>
      </c>
      <c r="Q12">
        <f>IF(J_V="SI",0,Datos!AG12)</f>
        <v>31</v>
      </c>
      <c r="R12">
        <f>IF(J_V="SI",0,Datos!AH12)</f>
        <v>19</v>
      </c>
      <c r="S12">
        <f>IF(J_V="SI",0,Datos!AI12)</f>
        <v>21</v>
      </c>
      <c r="T12">
        <f>IF(J_V="SI",0,Datos!AJ12)</f>
        <v>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-0.36521739130434783</v>
      </c>
      <c r="I13" s="356">
        <f>IF(ISNUMBER((Tasas!C13-Datos!BE13)/Datos!BE13),(Tasas!C13-Datos!BE13)/Datos!BE13," - ")</f>
        <v>1.4284534720502114E-2</v>
      </c>
      <c r="J13" s="354">
        <f>IF(ISNUMBER((Tasas!D13-Datos!BF13)/Datos!BF13),(Tasas!D13-Datos!BF13)/Datos!BF13," - ")</f>
        <v>-0.37039627039627038</v>
      </c>
      <c r="K13" s="357">
        <f>IF(ISNUMBER((Tasas!E13-Datos!BG13)/Datos!BG13),(Tasas!E13-Datos!BG13)/Datos!BG13," - ")</f>
        <v>9.8264746812076389E-3</v>
      </c>
      <c r="M13" t="e">
        <f>IF(Monitorios="SI",Datos!CE13,0)</f>
        <v>#REF!</v>
      </c>
      <c r="N13" t="e">
        <f>IF(Monitorios="SI",Datos!CF13,0)</f>
        <v>#REF!</v>
      </c>
      <c r="O13" t="e">
        <f>IF(Monitorios="SI",Datos!CG13,0)</f>
        <v>#REF!</v>
      </c>
      <c r="P13" t="e">
        <f>IF(Monitorios="SI",Datos!CH13,0)</f>
        <v>#REF!</v>
      </c>
      <c r="Q13">
        <f>IF(J_V="SI",0,Datos!AG13)</f>
        <v>31</v>
      </c>
      <c r="R13">
        <f>IF(J_V="SI",0,Datos!AH13)</f>
        <v>19</v>
      </c>
      <c r="S13">
        <f>IF(J_V="SI",0,Datos!AI13)</f>
        <v>21</v>
      </c>
      <c r="T13">
        <f>IF(J_V="SI",0,Datos!AJ13)</f>
        <v>29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0.60240963855421692</v>
      </c>
      <c r="E17" s="347">
        <f>IF(ISNUMBER(
   IF(D_I="SI",(Datos!J17-Datos!T17)/Datos!T17,(Datos!J17+Datos!AD17-(Datos!T17+Datos!AL17))/(Datos!T17+Datos!AL17))
     ),IF(D_I="SI",(Datos!J17-Datos!T17)/Datos!T17,(Datos!J17+Datos!AD17-(Datos!T17+Datos!AL17))/(Datos!T17+Datos!AL17))," - ")</f>
        <v>-0.3117206982543641</v>
      </c>
      <c r="F17" s="347">
        <f>IF(ISNUMBER(
   IF(D_I="SI",(Datos!K17-Datos!U17)/Datos!U17,(Datos!K17+Datos!AE17-(Datos!U17+Datos!AM17))/(Datos!U17+Datos!AM17))
     ),IF(D_I="SI",(Datos!K17-Datos!U17)/Datos!U17,(Datos!K17+Datos!AE17-(Datos!U17+Datos!AM17))/(Datos!U17+Datos!AM17))," - ")</f>
        <v>-7.3954983922829579E-2</v>
      </c>
      <c r="G17" s="348">
        <f>IF(ISNUMBER(
   IF(D_I="SI",(Datos!L17-Datos!V17)/Datos!V17,(Datos!L17+Datos!AF17-(Datos!V17+Datos!AN17))/(Datos!V17+Datos!AN17))
     ),IF(D_I="SI",(Datos!L17-Datos!V17)/Datos!V17,(Datos!L17+Datos!AF17-(Datos!V17+Datos!AN17))/(Datos!V17+Datos!AN17))," - ")</f>
        <v>0.29273084479371314</v>
      </c>
      <c r="H17" s="229">
        <f>IF(ISNUMBER((Datos!M17-Datos!W17)/Datos!W17),(Datos!M17-Datos!W17)/Datos!W17," - ")</f>
        <v>-0.17142857142857143</v>
      </c>
      <c r="I17" s="349">
        <f>IF(ISNUMBER((Tasas!C17-Datos!BE17)/Datos!BE17),(Tasas!C17-Datos!BE17)/Datos!BE17," - ")</f>
        <v>0.39596976642654441</v>
      </c>
      <c r="J17" s="348">
        <f>IF(ISNUMBER((Tasas!D17-Datos!BF17)/Datos!BF17),(Tasas!D17-Datos!BF17)/Datos!BF17," - ")</f>
        <v>-0.10525793650793648</v>
      </c>
      <c r="K17" s="350">
        <f>IF(ISNUMBER((Tasas!E17-Datos!BG17)/Datos!BG17),(Tasas!E17-Datos!BG17)/Datos!BG17," - ")</f>
        <v>0.24528101171023967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1.75</v>
      </c>
      <c r="E18" s="347">
        <f>IF(ISNUMBER(
   IF(D_I="SI",(Datos!J18-Datos!T18)/Datos!T18,(Datos!J18+Datos!AD18-(Datos!T18+Datos!AL18))/(Datos!T18+Datos!AL18))
     ),IF(D_I="SI",(Datos!J18-Datos!T18)/Datos!T18,(Datos!J18+Datos!AD18-(Datos!T18+Datos!AL18))/(Datos!T18+Datos!AL18))," - ")</f>
        <v>-0.4375</v>
      </c>
      <c r="F18" s="347">
        <f>IF(ISNUMBER(
   IF(D_I="SI",(Datos!K18-Datos!U18)/Datos!U18,(Datos!K18+Datos!AE18-(Datos!U18+Datos!AM18))/(Datos!U18+Datos!AM18))
     ),IF(D_I="SI",(Datos!K18-Datos!U18)/Datos!U18,(Datos!K18+Datos!AE18-(Datos!U18+Datos!AM18))/(Datos!U18+Datos!AM18))," - ")</f>
        <v>-5.8823529411764705E-2</v>
      </c>
      <c r="G18" s="348">
        <f>IF(ISNUMBER(
   IF(D_I="SI",(Datos!L18-Datos!V18)/Datos!V18,(Datos!L18+Datos!AF18-(Datos!V18+Datos!AN18))/(Datos!V18+Datos!AN18))
     ),IF(D_I="SI",(Datos!L18-Datos!V18)/Datos!V18,(Datos!L18+Datos!AF18-(Datos!V18+Datos!AN18))/(Datos!V18+Datos!AN18))," - ")</f>
        <v>1.2857142857142858</v>
      </c>
      <c r="H18" s="229">
        <f>IF(ISNUMBER((Datos!M18-Datos!W18)/Datos!W18),(Datos!M18-Datos!W18)/Datos!W18," - ")</f>
        <v>1</v>
      </c>
      <c r="I18" s="349">
        <f>IF(ISNUMBER((Tasas!C18-Datos!BE18)/Datos!BE18),(Tasas!C18-Datos!BE18)/Datos!BE18," - ")</f>
        <v>1.4285714285714286</v>
      </c>
      <c r="J18" s="348">
        <f>IF(ISNUMBER((Tasas!D18-Datos!BF18)/Datos!BF18),(Tasas!D18-Datos!BF18)/Datos!BF18," - ")</f>
        <v>1.125</v>
      </c>
      <c r="K18" s="350">
        <f>IF(ISNUMBER((Tasas!E18-Datos!BG18)/Datos!BG18),(Tasas!E18-Datos!BG18)/Datos!BG18," - ")</f>
        <v>0.37239583333333326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0.62411347517730498</v>
      </c>
      <c r="E19" s="353">
        <f>IF(ISNUMBER(
   IF(D_I="SI",(Datos!J19-Datos!T19)/Datos!T19,(Datos!J19+Datos!AD19-(Datos!T19+Datos!AL19))/(Datos!T19+Datos!AL19))
     ),IF(D_I="SI",(Datos!J19-Datos!T19)/Datos!T19,(Datos!J19+Datos!AD19-(Datos!T19+Datos!AL19))/(Datos!T19+Datos!AL19))," - ")</f>
        <v>-0.31654676258992803</v>
      </c>
      <c r="F19" s="353">
        <f>IF(ISNUMBER(
   IF(D_I="SI",(Datos!K19-Datos!U19)/Datos!U19,(Datos!K19+Datos!AE19-(Datos!U19+Datos!AM19))/(Datos!U19+Datos!AM19))
     ),IF(D_I="SI",(Datos!K19-Datos!U19)/Datos!U19,(Datos!K19+Datos!AE19-(Datos!U19+Datos!AM19))/(Datos!U19+Datos!AM19))," - ")</f>
        <v>-7.3170731707317069E-2</v>
      </c>
      <c r="G19" s="354">
        <f>IF(ISNUMBER(
   IF(D_I="SI",(Datos!L19-Datos!V19)/Datos!V19,(Datos!L19+Datos!AF19-(Datos!V19+Datos!AN19))/(Datos!V19+Datos!AN19))
     ),IF(D_I="SI",(Datos!L19-Datos!V19)/Datos!V19,(Datos!L19+Datos!AF19-(Datos!V19+Datos!AN19))/(Datos!V19+Datos!AN19))," - ")</f>
        <v>0.30620155038759689</v>
      </c>
      <c r="H19" s="355">
        <f>IF(ISNUMBER((Datos!M19-Datos!W19)/Datos!W19),(Datos!M19-Datos!W19)/Datos!W19," - ")</f>
        <v>-0.1388888888888889</v>
      </c>
      <c r="I19" s="356">
        <f>IF(ISNUMBER((Tasas!C19-Datos!BE19)/Datos!BE19),(Tasas!C19-Datos!BE19)/Datos!BE19," - ")</f>
        <v>0.40932272541819659</v>
      </c>
      <c r="J19" s="354">
        <f>IF(ISNUMBER((Tasas!D19-Datos!BF19)/Datos!BF19),(Tasas!D19-Datos!BF19)/Datos!BF19," - ")</f>
        <v>-7.0906432748538029E-2</v>
      </c>
      <c r="K19" s="357">
        <f>IF(ISNUMBER((Tasas!E19-Datos!BG19)/Datos!BG19),(Tasas!E19-Datos!BG19)/Datos!BG19," - ")</f>
        <v>0.24849624060150366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0.39365079365079364</v>
      </c>
      <c r="E20" s="362">
        <f>IF(ISNUMBER(
   IF(J_V="SI",(Datos!J20-Datos!T20)/Datos!T20,(Datos!J20+Datos!Z20-(Datos!T20+Datos!AH20))/(Datos!T20+Datos!AH20))
     ),IF(J_V="SI",(Datos!J20-Datos!T20)/Datos!T20,(Datos!J20+Datos!Z20-(Datos!T20+Datos!AH20))/(Datos!T20+Datos!AH20))," - ")</f>
        <v>-0.35966735966735969</v>
      </c>
      <c r="F20" s="362">
        <f>IF(ISNUMBER(
   IF(J_V="SI",(Datos!K20-Datos!U20)/Datos!U20,(Datos!K20+Datos!AA20-(Datos!U20+Datos!AI20))/(Datos!U20+Datos!AI20))
     ),IF(J_V="SI",(Datos!K20-Datos!U20)/Datos!U20,(Datos!K20+Datos!AA20-(Datos!U20+Datos!AI20))/(Datos!U20+Datos!AI20))," - ")</f>
        <v>-9.0771558245083206E-2</v>
      </c>
      <c r="G20" s="363">
        <f>IF(ISNUMBER(
   IF(J_V="SI",(Datos!L20-Datos!V20)/Datos!V20,(Datos!L20+Datos!AB20-(Datos!V20+Datos!AJ20))/(Datos!V20+Datos!AJ20))
     ),IF(J_V="SI",(Datos!L20-Datos!V20)/Datos!V20,(Datos!L20+Datos!AB20-(Datos!V20+Datos!AJ20))/(Datos!V20+Datos!AJ20))," - ")</f>
        <v>7.0400000000000004E-2</v>
      </c>
      <c r="H20" s="364">
        <f>IF(ISNUMBER((Datos!M20-Datos!W20)/Datos!W20),(Datos!M20-Datos!W20)/Datos!W20," - ")</f>
        <v>-0.31125827814569534</v>
      </c>
      <c r="I20" s="361">
        <f>IF(ISNUMBER((Tasas!C20-Datos!BE20)/Datos!BE20),(Tasas!C20-Datos!BE20)/Datos!BE20," - ")</f>
        <v>0.17726189683860219</v>
      </c>
      <c r="J20" s="362">
        <f>IF(ISNUMBER((Tasas!D20-Datos!BF20)/Datos!BF20),(Tasas!D20-Datos!BF20)/Datos!BF20," - ")</f>
        <v>-0.31094761742477395</v>
      </c>
      <c r="K20" s="363">
        <f>IF(ISNUMBER((Tasas!E20-Datos!BG20)/Datos!BG20),(Tasas!E20-Datos!BG20)/Datos!BG20," - ")</f>
        <v>0.11482872018057635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0.5897349015853186</v>
      </c>
      <c r="E22" s="277">
        <f t="shared" si="1"/>
        <v>9.2863629885721846E-2</v>
      </c>
      <c r="F22" s="277">
        <f t="shared" si="1"/>
        <v>0.46572706879808834</v>
      </c>
      <c r="G22" s="278">
        <f t="shared" si="1"/>
        <v>0.5694504328032467</v>
      </c>
      <c r="H22" s="284">
        <f t="shared" si="1"/>
        <v>0.57339192864053179</v>
      </c>
      <c r="I22" s="276">
        <f t="shared" si="1"/>
        <v>0.58268236213607472</v>
      </c>
      <c r="J22" s="277">
        <f t="shared" si="1"/>
        <v>0.62324552714257131</v>
      </c>
      <c r="K22" s="278">
        <f t="shared" si="1"/>
        <v>0.16444718621673443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PFIS/y0CT/JvIEH7F5zEMPLOwSN0UvaoP4JVAX/XzAm+lp7q2FSvvdwBMCnaNqejNbRhY6m725RjIL9IiAMFhw==" saltValue="fDhN6fCv6fn00pFuy5rBS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